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Chapter 14 Excel Sheets/"/>
    </mc:Choice>
  </mc:AlternateContent>
  <xr:revisionPtr revIDLastSave="0" documentId="10_ncr:8100000_{DD11F640-38AF-FE43-A428-850B6A255C81}" xr6:coauthVersionLast="34" xr6:coauthVersionMax="34" xr10:uidLastSave="{00000000-0000-0000-0000-000000000000}"/>
  <bookViews>
    <workbookView xWindow="0" yWindow="460" windowWidth="25600" windowHeight="15540" tabRatio="833" firstSheet="1" activeTab="7" xr2:uid="{00000000-000D-0000-FFFF-FFFF00000000}"/>
  </bookViews>
  <sheets>
    <sheet name="Instructions" sheetId="1" r:id="rId1"/>
    <sheet name="Margules" sheetId="14" r:id="rId2"/>
    <sheet name="Regular" sheetId="3" r:id="rId3"/>
    <sheet name="NRTL" sheetId="18" r:id="rId4"/>
    <sheet name="NRTL5" sheetId="17" r:id="rId5"/>
    <sheet name="UNIQUAC" sheetId="4" r:id="rId6"/>
    <sheet name="UNIQUAC5" sheetId="5" r:id="rId7"/>
    <sheet name="UNIFAC (VLE)" sheetId="15" r:id="rId8"/>
    <sheet name="aij-UNIFAC (VLE)" sheetId="16" r:id="rId9"/>
    <sheet name="UNIFAC (LLEa)" sheetId="9" r:id="rId10"/>
    <sheet name="UNIFAC (LLEb)" sheetId="12" r:id="rId11"/>
    <sheet name="aij-UNIFAC (LLE)" sheetId="10" r:id="rId12"/>
    <sheet name="revisions" sheetId="19" r:id="rId13"/>
    <sheet name="LLE" sheetId="11" r:id="rId14"/>
  </sheets>
  <definedNames>
    <definedName name="__123Graph_A1" localSheetId="1" hidden="1">Margules!$E$10:$E$30</definedName>
    <definedName name="__123Graph_B" localSheetId="1" hidden="1">Margules!$G$10:$G$30</definedName>
    <definedName name="__123Graph_B1" localSheetId="1" hidden="1">Margules!$F$10:$F$30</definedName>
    <definedName name="__123Graph_B2" localSheetId="1" hidden="1">Margules!$G$10:$G$30</definedName>
    <definedName name="__123Graph_X" localSheetId="1" hidden="1">Margules!$A$10:$A$30</definedName>
    <definedName name="__123Graph_X1" localSheetId="1" hidden="1">Margules!$A$10:$A$30</definedName>
    <definedName name="__123Graph_X2" localSheetId="1" hidden="1">Margules!$A$10:$A$30</definedName>
    <definedName name="_del1">Regular!$J$10</definedName>
    <definedName name="_del2">Regular!$J$11</definedName>
    <definedName name="_l1" localSheetId="5">UNIQUAC!$E$6</definedName>
    <definedName name="_l2" localSheetId="5">UNIQUAC!$E$7</definedName>
    <definedName name="_lf1" localSheetId="5">UNIQUAC!$F$6</definedName>
    <definedName name="_lf2" localSheetId="5">UNIQUAC!$F$7</definedName>
    <definedName name="_phi1" localSheetId="5">UNIQUAC!$K:$K</definedName>
    <definedName name="_phi2" localSheetId="5">UNIQUAC!$L:$L</definedName>
    <definedName name="_Q">'aij-UNIFAC (VLE)'!$X$10:$X$29</definedName>
    <definedName name="_q1" localSheetId="5">UNIQUAC!$C$6</definedName>
    <definedName name="_q2" localSheetId="5">UNIQUAC!$C$7</definedName>
    <definedName name="_QL">'aij-UNIFAC (LLE)'!$D$10:$D$27</definedName>
    <definedName name="_qp1" localSheetId="5">UNIQUAC!$D$6</definedName>
    <definedName name="_qp2" localSheetId="5">UNIQUAC!$D$7</definedName>
    <definedName name="_R">'aij-UNIFAC (VLE)'!$W$10:$W$29</definedName>
    <definedName name="_r1" localSheetId="5">UNIQUAC!$B$6</definedName>
    <definedName name="_r2" localSheetId="5">UNIQUAC!$B$7</definedName>
    <definedName name="_Regression_Int" localSheetId="1" hidden="1">1</definedName>
    <definedName name="_RL">'aij-UNIFAC (LLE)'!$C$10:$C$27</definedName>
    <definedName name="_T">UNIQUAC!$D:$D</definedName>
    <definedName name="_T.">UNIQUAC!$D$11</definedName>
    <definedName name="_tau12" localSheetId="5">UNIQUAC!$E:$E</definedName>
    <definedName name="_tau21" localSheetId="5">UNIQUAC!$F:$F</definedName>
    <definedName name="_x1" localSheetId="5">UNIQUAC!$A$11:$A$31</definedName>
    <definedName name="_x2" localSheetId="5">UNIQUAC!$B$11:$B$31</definedName>
    <definedName name="A.">UNIQUAC5!$B$6:$F$6</definedName>
    <definedName name="A12_">Margules!$D$5</definedName>
    <definedName name="A12.">Regular!$H$54</definedName>
    <definedName name="A12..">UNIQUAC!$H$6</definedName>
    <definedName name="A21_">Margules!$E$5</definedName>
    <definedName name="A21.">Regular!$H$55</definedName>
    <definedName name="A21..">UNIQUAC!$I$6</definedName>
    <definedName name="act">UNIQUAC5!$B$17:$F$17</definedName>
    <definedName name="activity1" localSheetId="1">Margules!$E$10:$E$30</definedName>
    <definedName name="activity2" localSheetId="1">Margules!$F$10:$F$30</definedName>
    <definedName name="B.">UNIQUAC5!$B$7:$F$7</definedName>
    <definedName name="C.">UNIQUAC5!$B$8:$F$8</definedName>
    <definedName name="column">'aij-UNIFAC (VLE)'!$B$9:$R$9</definedName>
    <definedName name="g.">UNIQUAC5!$B$16:$F$16</definedName>
    <definedName name="g12.">NRTL!$G$4</definedName>
    <definedName name="g21.">NRTL!$G$5</definedName>
    <definedName name="galpha">UNIQUAC5!$B$16:$F$16</definedName>
    <definedName name="gam1.">Regular!$B$24:$O$24</definedName>
    <definedName name="gam1..">Regular!$B$41:$O$41</definedName>
    <definedName name="gam1...">Regular!$B$57:$O$57</definedName>
    <definedName name="gam2.">Regular!$B$25:$O$25</definedName>
    <definedName name="gam2..">Regular!$B$42:$O$42</definedName>
    <definedName name="gam2...">Regular!$B$58:$O$58</definedName>
    <definedName name="gamma1_">Margules!$C$10:$C$30</definedName>
    <definedName name="gamma2_" localSheetId="1">Margules!$D$10:$D$30</definedName>
    <definedName name="gbeta" localSheetId="6">UNIQUAC5!$I$16:$M$16</definedName>
    <definedName name="MGaij">'aij-UNIFAC (VLE)'!$B$10:$R$26</definedName>
    <definedName name="P1sat.">Regular!$B$26:$O$26</definedName>
    <definedName name="P1sat..">Regular!$B$43:$O$43</definedName>
    <definedName name="P1sat...">Regular!$B$59:$O$59</definedName>
    <definedName name="P2sat.">Regular!$B$27:$O$27</definedName>
    <definedName name="P2sat..">Regular!$B$44:$O$44</definedName>
    <definedName name="P2sat...">Regular!$B$60:$O$60</definedName>
    <definedName name="Pexpt">Regular!$I$13</definedName>
    <definedName name="phir1">Regular!$B$19:$O$19</definedName>
    <definedName name="Psat">UNIQUAC5!$B$9:$F$9</definedName>
    <definedName name="q">'UNIFAC (VLE)'!$C$46:$G$46</definedName>
    <definedName name="qL" localSheetId="10">'UNIFAC (LLEb)'!$B$44:$F$44</definedName>
    <definedName name="qL">'UNIFAC (LLEa)'!$B$45:$F$45</definedName>
    <definedName name="row">'aij-UNIFAC (VLE)'!$A$10:$A$26</definedName>
    <definedName name="solver_adj" localSheetId="2" hidden="1">Regular!$B$47:$O$47</definedName>
    <definedName name="solver_adj" localSheetId="9" hidden="1">'UNIFAC (LLEa)'!$D$22,'UNIFAC (LLEa)'!$B$22</definedName>
    <definedName name="solver_adj" localSheetId="10" hidden="1">'UNIFAC (LLEb)'!$B$10</definedName>
    <definedName name="solver_adj" localSheetId="7" hidden="1">'UNIFAC (VLE)'!$C$10</definedName>
    <definedName name="solver_cvg" localSheetId="2" hidden="1">0.001</definedName>
    <definedName name="solver_cvg" localSheetId="9" hidden="1">0.0001</definedName>
    <definedName name="solver_drv" localSheetId="2" hidden="1">1</definedName>
    <definedName name="solver_drv" localSheetId="9" hidden="1">2</definedName>
    <definedName name="solver_eng" localSheetId="9" hidden="1">1</definedName>
    <definedName name="solver_est" localSheetId="2" hidden="1">1</definedName>
    <definedName name="solver_itr" localSheetId="2" hidden="1">100</definedName>
    <definedName name="solver_itr" localSheetId="9" hidden="1">2147483647</definedName>
    <definedName name="solver_lhs1" localSheetId="2" hidden="1">Regular!$C$37</definedName>
    <definedName name="solver_lin" localSheetId="2" hidden="1">2</definedName>
    <definedName name="solver_lin" localSheetId="9" hidden="1">2</definedName>
    <definedName name="solver_lin" localSheetId="10" hidden="1">0</definedName>
    <definedName name="solver_lin" localSheetId="7" hidden="1">0</definedName>
    <definedName name="solver_mip" localSheetId="9" hidden="1">2147483647</definedName>
    <definedName name="solver_mni" localSheetId="9" hidden="1">30</definedName>
    <definedName name="solver_mrt" localSheetId="9" hidden="1">0.075</definedName>
    <definedName name="solver_msl" localSheetId="9" hidden="1">2</definedName>
    <definedName name="solver_neg" localSheetId="2" hidden="1">2</definedName>
    <definedName name="solver_neg" localSheetId="9" hidden="1">1</definedName>
    <definedName name="solver_nod" localSheetId="9" hidden="1">2147483647</definedName>
    <definedName name="solver_num" localSheetId="2" hidden="1">0</definedName>
    <definedName name="solver_num" localSheetId="9" hidden="1">0</definedName>
    <definedName name="solver_num" localSheetId="10" hidden="1">0</definedName>
    <definedName name="solver_num" localSheetId="7" hidden="1">0</definedName>
    <definedName name="solver_nwt" localSheetId="2" hidden="1">1</definedName>
    <definedName name="solver_opt" localSheetId="2" hidden="1">Regular!$P$48</definedName>
    <definedName name="solver_opt" localSheetId="9" hidden="1">'UNIFAC (LLEa)'!$B$10</definedName>
    <definedName name="solver_opt" localSheetId="10" hidden="1">'UNIFAC (LLEb)'!$B$9</definedName>
    <definedName name="solver_opt" localSheetId="7" hidden="1">'UNIFAC (VLE)'!$C$9</definedName>
    <definedName name="solver_pre" localSheetId="2" hidden="1">0.000001</definedName>
    <definedName name="solver_pre" localSheetId="9" hidden="1">0.000001</definedName>
    <definedName name="solver_rbv" localSheetId="9" hidden="1">2</definedName>
    <definedName name="solver_rel1" localSheetId="2" hidden="1">2</definedName>
    <definedName name="solver_rhs1" localSheetId="2" hidden="1">0</definedName>
    <definedName name="solver_rlx" localSheetId="9" hidden="1">2</definedName>
    <definedName name="solver_rsd" localSheetId="9" hidden="1">0</definedName>
    <definedName name="solver_scl" localSheetId="2" hidden="1">2</definedName>
    <definedName name="solver_scl" localSheetId="9" hidden="1">2</definedName>
    <definedName name="solver_sho" localSheetId="2" hidden="1">2</definedName>
    <definedName name="solver_sho" localSheetId="9" hidden="1">2</definedName>
    <definedName name="solver_ssz" localSheetId="9" hidden="1">100</definedName>
    <definedName name="solver_tim" localSheetId="2" hidden="1">100</definedName>
    <definedName name="solver_tim" localSheetId="9" hidden="1">2147483647</definedName>
    <definedName name="solver_tol" localSheetId="2" hidden="1">0.05</definedName>
    <definedName name="solver_tol" localSheetId="9" hidden="1">0.01</definedName>
    <definedName name="solver_typ" localSheetId="2" hidden="1">3</definedName>
    <definedName name="solver_typ" localSheetId="9" hidden="1">3</definedName>
    <definedName name="solver_typ" localSheetId="10" hidden="1">3</definedName>
    <definedName name="solver_typ" localSheetId="7" hidden="1">3</definedName>
    <definedName name="solver_val" localSheetId="2" hidden="1">0</definedName>
    <definedName name="solver_val" localSheetId="9" hidden="1">760</definedName>
    <definedName name="solver_val" localSheetId="10" hidden="1">760</definedName>
    <definedName name="solver_val" localSheetId="7" hidden="1">760</definedName>
    <definedName name="solver_ver" localSheetId="9" hidden="1">2</definedName>
    <definedName name="T">NRTL5!$C$5</definedName>
    <definedName name="T_" localSheetId="7">'UNIFAC (VLE)'!$C$10</definedName>
    <definedName name="T.">Regular!$B$30:$O$30</definedName>
    <definedName name="T..">Regular!$B$47:$O$47</definedName>
    <definedName name="T...">Regular!$B$63:$O$63</definedName>
    <definedName name="t12.">NRTL!$G$2</definedName>
    <definedName name="t21.">NRTL!$G$3</definedName>
    <definedName name="tau">'aij-UNIFAC (VLE)'!$W$36:$AP$55</definedName>
    <definedName name="tauL">'aij-UNIFAC (LLE)'!$E$31:$V$48</definedName>
    <definedName name="TC." localSheetId="9">'UNIFAC (LLEa)'!$B$11</definedName>
    <definedName name="TC.." localSheetId="10">'UNIFAC (LLEb)'!$B$10</definedName>
    <definedName name="theta1" localSheetId="5">UNIQUAC!$G:$G</definedName>
    <definedName name="theta2" localSheetId="5">UNIQUAC!$H:$H</definedName>
    <definedName name="thetap1" localSheetId="5">UNIQUAC!$I:$I</definedName>
    <definedName name="thetap2" localSheetId="5">UNIQUAC!$J:$J</definedName>
    <definedName name="TK" localSheetId="5">UNIQUAC5!$B$12</definedName>
    <definedName name="TK">UNIQUAC5!$B$12</definedName>
    <definedName name="V1_">Regular!$H$10</definedName>
    <definedName name="V2_">Regular!$H$11</definedName>
    <definedName name="x.">UNIQUAC5!$B$15:$F$15</definedName>
    <definedName name="x1_">Margules!$A$10:$A$30</definedName>
    <definedName name="x1__">Regular!$B$14:$O$14</definedName>
    <definedName name="x1." localSheetId="3">NRTL!$B$8:$B$28</definedName>
    <definedName name="x1.">Regular!$B$23:$O$23</definedName>
    <definedName name="x1..">Regular!$B$40:$O$40</definedName>
    <definedName name="x1...">Regular!$B$56:$O$56</definedName>
    <definedName name="x2_">Margules!$B$10:$B$30</definedName>
    <definedName name="x2.">NRTL!$C$8:$C$28</definedName>
    <definedName name="xalpha" localSheetId="6">UNIQUAC5!$B$15:$F$15</definedName>
    <definedName name="xbeta" localSheetId="6">UNIQUAC5!$I$15:$M$15</definedName>
    <definedName name="XL" localSheetId="10">'UNIFAC (LLEb)'!$I$23:$M$35</definedName>
    <definedName name="y1.">Regular!$B$28:$O$28</definedName>
    <definedName name="y1..">Regular!$B$45:$O$45</definedName>
    <definedName name="y1...">Regular!$B$61:$O$61</definedName>
    <definedName name="y2.">Regular!$B$29:$O$29</definedName>
    <definedName name="y2..">Regular!$B$46:$O$46</definedName>
    <definedName name="y2...">Regular!$B$62:$O$62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9" l="1"/>
  <c r="D17" i="9"/>
  <c r="C17" i="9"/>
  <c r="G2" i="18"/>
  <c r="G3" i="18"/>
  <c r="G5" i="18" s="1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H7" i="17"/>
  <c r="C10" i="17"/>
  <c r="D10" i="17"/>
  <c r="E10" i="17"/>
  <c r="F10" i="17"/>
  <c r="G10" i="17"/>
  <c r="B11" i="17"/>
  <c r="J11" i="17" a="1"/>
  <c r="L11" i="17" s="1"/>
  <c r="K11" i="17"/>
  <c r="M11" i="17"/>
  <c r="B12" i="17"/>
  <c r="B19" i="17" s="1"/>
  <c r="B26" i="17" s="1"/>
  <c r="K12" i="17"/>
  <c r="M12" i="17"/>
  <c r="B13" i="17"/>
  <c r="K13" i="17"/>
  <c r="M13" i="17"/>
  <c r="B14" i="17"/>
  <c r="B21" i="17" s="1"/>
  <c r="B28" i="17" s="1"/>
  <c r="K14" i="17"/>
  <c r="M14" i="17"/>
  <c r="B15" i="17"/>
  <c r="K15" i="17"/>
  <c r="M15" i="17"/>
  <c r="C17" i="17"/>
  <c r="D17" i="17"/>
  <c r="E17" i="17"/>
  <c r="F17" i="17"/>
  <c r="G17" i="17"/>
  <c r="B18" i="17"/>
  <c r="D25" i="17"/>
  <c r="E25" i="17"/>
  <c r="F25" i="17"/>
  <c r="G25" i="17"/>
  <c r="E26" i="17"/>
  <c r="F26" i="17"/>
  <c r="G26" i="17"/>
  <c r="B20" i="17"/>
  <c r="F27" i="17"/>
  <c r="G27" i="17"/>
  <c r="G28" i="17"/>
  <c r="B22" i="17"/>
  <c r="B29" i="17" s="1"/>
  <c r="C24" i="17"/>
  <c r="D24" i="17"/>
  <c r="E24" i="17"/>
  <c r="F24" i="17"/>
  <c r="G24" i="17"/>
  <c r="B25" i="17"/>
  <c r="B27" i="17"/>
  <c r="J30" i="17"/>
  <c r="K30" i="17"/>
  <c r="L30" i="17"/>
  <c r="M30" i="17"/>
  <c r="N30" i="17"/>
  <c r="J31" i="17"/>
  <c r="K31" i="17"/>
  <c r="L31" i="17"/>
  <c r="M31" i="17"/>
  <c r="N31" i="17"/>
  <c r="J32" i="17"/>
  <c r="K32" i="17"/>
  <c r="L32" i="17"/>
  <c r="M32" i="17"/>
  <c r="N32" i="17"/>
  <c r="J33" i="17"/>
  <c r="K33" i="17"/>
  <c r="L33" i="17"/>
  <c r="M33" i="17"/>
  <c r="N33" i="17"/>
  <c r="J34" i="17"/>
  <c r="K34" i="17"/>
  <c r="L34" i="17"/>
  <c r="M34" i="17"/>
  <c r="N34" i="17"/>
  <c r="C26" i="5"/>
  <c r="C34" i="5"/>
  <c r="D26" i="5"/>
  <c r="D34" i="5"/>
  <c r="E34" i="5"/>
  <c r="F34" i="5"/>
  <c r="B27" i="5"/>
  <c r="B35" i="5"/>
  <c r="D27" i="5"/>
  <c r="D35" i="5"/>
  <c r="E35" i="5"/>
  <c r="F35" i="5"/>
  <c r="B28" i="5"/>
  <c r="B36" i="5"/>
  <c r="C28" i="5"/>
  <c r="C36" i="5"/>
  <c r="E36" i="5"/>
  <c r="F36" i="5"/>
  <c r="B37" i="5"/>
  <c r="C37" i="5"/>
  <c r="D37" i="5"/>
  <c r="F37" i="5"/>
  <c r="B38" i="5"/>
  <c r="C38" i="5"/>
  <c r="D38" i="5"/>
  <c r="E38" i="5"/>
  <c r="B9" i="5"/>
  <c r="C40" i="3"/>
  <c r="D40" i="3"/>
  <c r="E40" i="3"/>
  <c r="F40" i="3"/>
  <c r="H40" i="3"/>
  <c r="I40" i="3"/>
  <c r="J40" i="3"/>
  <c r="K40" i="3"/>
  <c r="L40" i="3"/>
  <c r="N40" i="3"/>
  <c r="O40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B44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B43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O19" i="3"/>
  <c r="O41" i="3" s="1"/>
  <c r="B19" i="3"/>
  <c r="B42" i="3" s="1"/>
  <c r="C9" i="5"/>
  <c r="D9" i="5"/>
  <c r="E9" i="5"/>
  <c r="F9" i="5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B59" i="3"/>
  <c r="B60" i="3"/>
  <c r="E27" i="3"/>
  <c r="F27" i="3"/>
  <c r="G27" i="3"/>
  <c r="H27" i="3"/>
  <c r="I27" i="3"/>
  <c r="J27" i="3"/>
  <c r="K27" i="3"/>
  <c r="L27" i="3"/>
  <c r="M27" i="3"/>
  <c r="N27" i="3"/>
  <c r="O27" i="3"/>
  <c r="D27" i="3"/>
  <c r="C27" i="3"/>
  <c r="B27" i="3"/>
  <c r="B26" i="3"/>
  <c r="E19" i="3"/>
  <c r="E42" i="3" s="1"/>
  <c r="E46" i="3"/>
  <c r="F19" i="3"/>
  <c r="F42" i="3" s="1"/>
  <c r="F46" i="3" s="1"/>
  <c r="H19" i="3"/>
  <c r="H42" i="3" s="1"/>
  <c r="H46" i="3" s="1"/>
  <c r="I19" i="3"/>
  <c r="I41" i="3"/>
  <c r="I45" i="3" s="1"/>
  <c r="J19" i="3"/>
  <c r="J42" i="3" s="1"/>
  <c r="J46" i="3" s="1"/>
  <c r="K19" i="3"/>
  <c r="K41" i="3" s="1"/>
  <c r="K45" i="3" s="1"/>
  <c r="L19" i="3"/>
  <c r="L42" i="3" s="1"/>
  <c r="L46" i="3" s="1"/>
  <c r="N19" i="3"/>
  <c r="N42" i="3"/>
  <c r="N46" i="3" s="1"/>
  <c r="D19" i="3"/>
  <c r="D24" i="3" s="1"/>
  <c r="C19" i="3"/>
  <c r="B6" i="10"/>
  <c r="E32" i="10"/>
  <c r="T32" i="10"/>
  <c r="R33" i="10"/>
  <c r="P34" i="10"/>
  <c r="F35" i="10"/>
  <c r="N35" i="10"/>
  <c r="V35" i="10"/>
  <c r="L36" i="10"/>
  <c r="T36" i="10"/>
  <c r="J37" i="10"/>
  <c r="R37" i="10"/>
  <c r="H38" i="10"/>
  <c r="P38" i="10"/>
  <c r="T38" i="10"/>
  <c r="F39" i="10"/>
  <c r="J39" i="10"/>
  <c r="N39" i="10"/>
  <c r="R39" i="10"/>
  <c r="V39" i="10"/>
  <c r="H40" i="10"/>
  <c r="L40" i="10"/>
  <c r="P40" i="10"/>
  <c r="T40" i="10"/>
  <c r="F41" i="10"/>
  <c r="J41" i="10"/>
  <c r="N41" i="10"/>
  <c r="R41" i="10"/>
  <c r="V41" i="10"/>
  <c r="H42" i="10"/>
  <c r="L42" i="10"/>
  <c r="P42" i="10"/>
  <c r="T42" i="10"/>
  <c r="F43" i="10"/>
  <c r="J43" i="10"/>
  <c r="N43" i="10"/>
  <c r="R43" i="10"/>
  <c r="V43" i="10"/>
  <c r="H44" i="10"/>
  <c r="L44" i="10"/>
  <c r="P44" i="10"/>
  <c r="T44" i="10"/>
  <c r="F45" i="10"/>
  <c r="J45" i="10"/>
  <c r="N45" i="10"/>
  <c r="R45" i="10"/>
  <c r="V45" i="10"/>
  <c r="H46" i="10"/>
  <c r="L46" i="10"/>
  <c r="P46" i="10"/>
  <c r="T46" i="10"/>
  <c r="F47" i="10"/>
  <c r="J47" i="10"/>
  <c r="N47" i="10"/>
  <c r="R47" i="10"/>
  <c r="V47" i="10"/>
  <c r="H48" i="10"/>
  <c r="L48" i="10"/>
  <c r="P48" i="10"/>
  <c r="T48" i="10"/>
  <c r="G31" i="10"/>
  <c r="K31" i="10"/>
  <c r="O31" i="10"/>
  <c r="S31" i="10"/>
  <c r="E31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R9" i="10"/>
  <c r="R30" i="10" s="1"/>
  <c r="S9" i="10"/>
  <c r="S30" i="10" s="1"/>
  <c r="T9" i="10"/>
  <c r="T30" i="10" s="1"/>
  <c r="U9" i="10"/>
  <c r="U30" i="10" s="1"/>
  <c r="V9" i="10"/>
  <c r="V30" i="10" s="1"/>
  <c r="D44" i="10"/>
  <c r="D45" i="10"/>
  <c r="D46" i="10"/>
  <c r="D47" i="10"/>
  <c r="D48" i="10"/>
  <c r="W23" i="10"/>
  <c r="W24" i="10"/>
  <c r="W25" i="10"/>
  <c r="W26" i="10"/>
  <c r="W27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10" i="10"/>
  <c r="F9" i="10"/>
  <c r="F30" i="10"/>
  <c r="G9" i="10"/>
  <c r="G30" i="10" s="1"/>
  <c r="H9" i="10"/>
  <c r="H30" i="10"/>
  <c r="I9" i="10"/>
  <c r="I30" i="10" s="1"/>
  <c r="J9" i="10"/>
  <c r="J30" i="10"/>
  <c r="K9" i="10"/>
  <c r="K30" i="10" s="1"/>
  <c r="L9" i="10"/>
  <c r="L30" i="10"/>
  <c r="M9" i="10"/>
  <c r="M30" i="10" s="1"/>
  <c r="N9" i="10"/>
  <c r="N30" i="10"/>
  <c r="O9" i="10"/>
  <c r="O30" i="10" s="1"/>
  <c r="P9" i="10"/>
  <c r="P30" i="10"/>
  <c r="Q9" i="10"/>
  <c r="Q30" i="10" s="1"/>
  <c r="E9" i="10"/>
  <c r="E30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31" i="10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T28" i="16"/>
  <c r="W28" i="16"/>
  <c r="T27" i="16"/>
  <c r="X27" i="16" s="1"/>
  <c r="T26" i="16"/>
  <c r="T25" i="16"/>
  <c r="X25" i="16"/>
  <c r="T24" i="16"/>
  <c r="W24" i="16" s="1"/>
  <c r="T23" i="16"/>
  <c r="X23" i="16"/>
  <c r="W23" i="16"/>
  <c r="T22" i="16"/>
  <c r="W22" i="16" s="1"/>
  <c r="U22" i="16"/>
  <c r="T21" i="16"/>
  <c r="X21" i="16" s="1"/>
  <c r="T20" i="16"/>
  <c r="T19" i="16"/>
  <c r="X19" i="16"/>
  <c r="T18" i="16"/>
  <c r="W18" i="16" s="1"/>
  <c r="T17" i="16"/>
  <c r="T16" i="16"/>
  <c r="W16" i="16"/>
  <c r="U16" i="16"/>
  <c r="T15" i="16"/>
  <c r="X15" i="16" s="1"/>
  <c r="T14" i="16"/>
  <c r="T13" i="16"/>
  <c r="X13" i="16"/>
  <c r="W13" i="16"/>
  <c r="T12" i="16"/>
  <c r="W12" i="16" s="1"/>
  <c r="U12" i="16"/>
  <c r="T11" i="16"/>
  <c r="X11" i="16" s="1"/>
  <c r="T10" i="16"/>
  <c r="W10" i="16"/>
  <c r="U10" i="16"/>
  <c r="T29" i="16"/>
  <c r="X29" i="16" s="1"/>
  <c r="W29" i="16"/>
  <c r="AE8" i="16"/>
  <c r="Y8" i="16"/>
  <c r="U6" i="16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E4" i="11"/>
  <c r="F4" i="11"/>
  <c r="A11" i="14"/>
  <c r="B10" i="14"/>
  <c r="B54" i="3"/>
  <c r="E54" i="3"/>
  <c r="B55" i="3"/>
  <c r="E55" i="3" s="1"/>
  <c r="C56" i="3"/>
  <c r="D56" i="3"/>
  <c r="E56" i="3"/>
  <c r="F56" i="3"/>
  <c r="G14" i="3"/>
  <c r="G40" i="3"/>
  <c r="G56" i="3"/>
  <c r="H56" i="3"/>
  <c r="I56" i="3"/>
  <c r="J56" i="3"/>
  <c r="K56" i="3"/>
  <c r="L56" i="3"/>
  <c r="M14" i="3"/>
  <c r="M40" i="3"/>
  <c r="N56" i="3"/>
  <c r="O56" i="3"/>
  <c r="B56" i="3"/>
  <c r="B40" i="3"/>
  <c r="E25" i="3"/>
  <c r="I25" i="3"/>
  <c r="O25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B23" i="3"/>
  <c r="C18" i="3"/>
  <c r="D18" i="3"/>
  <c r="E18" i="3"/>
  <c r="F18" i="3"/>
  <c r="H18" i="3"/>
  <c r="I18" i="3"/>
  <c r="J18" i="3"/>
  <c r="K18" i="3"/>
  <c r="L18" i="3"/>
  <c r="N18" i="3"/>
  <c r="O18" i="3"/>
  <c r="B18" i="3"/>
  <c r="B16" i="12"/>
  <c r="C16" i="12"/>
  <c r="B42" i="9"/>
  <c r="C42" i="9"/>
  <c r="D42" i="9"/>
  <c r="E42" i="9"/>
  <c r="F42" i="9"/>
  <c r="G24" i="9" a="1"/>
  <c r="G24" i="9" s="1"/>
  <c r="G25" i="9" a="1"/>
  <c r="G25" i="9" s="1"/>
  <c r="G26" i="9" a="1"/>
  <c r="G26" i="9" s="1"/>
  <c r="G27" i="9" a="1"/>
  <c r="G28" i="9" a="1"/>
  <c r="G28" i="9"/>
  <c r="G29" i="9" a="1"/>
  <c r="G29" i="9" s="1"/>
  <c r="G30" i="9" a="1"/>
  <c r="G30" i="9" s="1"/>
  <c r="G31" i="9" a="1"/>
  <c r="G32" i="9" a="1"/>
  <c r="G32" i="9" s="1"/>
  <c r="G33" i="9" a="1"/>
  <c r="G33" i="9"/>
  <c r="G34" i="9" a="1"/>
  <c r="G34" i="9" s="1"/>
  <c r="G35" i="9" a="1"/>
  <c r="G36" i="9" a="1"/>
  <c r="G36" i="9" s="1"/>
  <c r="G37" i="9" a="1"/>
  <c r="G37" i="9" s="1"/>
  <c r="G38" i="9" a="1"/>
  <c r="G39" i="9" a="1"/>
  <c r="G39" i="9"/>
  <c r="G40" i="9" a="1"/>
  <c r="G41" i="9" a="1"/>
  <c r="G41" i="9" s="1"/>
  <c r="B43" i="9"/>
  <c r="C43" i="9"/>
  <c r="J28" i="9"/>
  <c r="D43" i="9"/>
  <c r="E43" i="9"/>
  <c r="L26" i="9"/>
  <c r="F43" i="9"/>
  <c r="I25" i="9"/>
  <c r="I27" i="9"/>
  <c r="K27" i="9"/>
  <c r="I29" i="9"/>
  <c r="K29" i="9"/>
  <c r="M29" i="9"/>
  <c r="I31" i="9"/>
  <c r="M31" i="9"/>
  <c r="I33" i="9"/>
  <c r="I35" i="9"/>
  <c r="K35" i="9"/>
  <c r="I37" i="9"/>
  <c r="K37" i="9"/>
  <c r="M37" i="9"/>
  <c r="I39" i="9"/>
  <c r="M39" i="9"/>
  <c r="I41" i="9"/>
  <c r="C46" i="9" a="1"/>
  <c r="C46" i="9"/>
  <c r="B46" i="9" a="1"/>
  <c r="B46" i="9" s="1"/>
  <c r="D46" i="9" a="1"/>
  <c r="D46" i="9"/>
  <c r="E46" i="9" a="1"/>
  <c r="E46" i="9" s="1"/>
  <c r="F46" i="9" a="1"/>
  <c r="F46" i="9" s="1"/>
  <c r="C45" i="9" a="1"/>
  <c r="B45" i="9" a="1"/>
  <c r="B45" i="9"/>
  <c r="D45" i="9" a="1"/>
  <c r="D45" i="9" s="1"/>
  <c r="E45" i="9" a="1"/>
  <c r="E45" i="9"/>
  <c r="F45" i="9" a="1"/>
  <c r="F45" i="9" s="1"/>
  <c r="F17" i="9"/>
  <c r="F16" i="12" s="1"/>
  <c r="E17" i="9"/>
  <c r="E16" i="12"/>
  <c r="C45" i="9"/>
  <c r="A36" i="9"/>
  <c r="H36" i="9" s="1"/>
  <c r="A37" i="9"/>
  <c r="H37" i="9"/>
  <c r="A38" i="9"/>
  <c r="H38" i="9" s="1"/>
  <c r="A39" i="9"/>
  <c r="H39" i="9"/>
  <c r="A40" i="9"/>
  <c r="H40" i="9" s="1"/>
  <c r="A41" i="9"/>
  <c r="H41" i="9"/>
  <c r="G38" i="9"/>
  <c r="G40" i="9"/>
  <c r="G27" i="9"/>
  <c r="G31" i="9"/>
  <c r="G35" i="9"/>
  <c r="A35" i="9"/>
  <c r="H35" i="9"/>
  <c r="A30" i="9"/>
  <c r="H30" i="9" s="1"/>
  <c r="A31" i="9"/>
  <c r="H31" i="9"/>
  <c r="A32" i="9"/>
  <c r="H32" i="9" s="1"/>
  <c r="A33" i="9"/>
  <c r="H33" i="9"/>
  <c r="A34" i="9"/>
  <c r="H34" i="9" s="1"/>
  <c r="A25" i="9"/>
  <c r="H25" i="9"/>
  <c r="A26" i="9"/>
  <c r="H26" i="9" s="1"/>
  <c r="A27" i="9"/>
  <c r="H27" i="9"/>
  <c r="A28" i="9"/>
  <c r="H28" i="9" s="1"/>
  <c r="A29" i="9"/>
  <c r="H29" i="9"/>
  <c r="A24" i="9"/>
  <c r="H24" i="9" s="1"/>
  <c r="F20" i="12"/>
  <c r="E20" i="12"/>
  <c r="D20" i="12"/>
  <c r="C20" i="12"/>
  <c r="B20" i="12"/>
  <c r="F40" i="12"/>
  <c r="E40" i="12"/>
  <c r="D40" i="12"/>
  <c r="C40" i="12"/>
  <c r="B40" i="12"/>
  <c r="G40" i="12" s="1" a="1"/>
  <c r="F39" i="12"/>
  <c r="E39" i="12"/>
  <c r="D39" i="12"/>
  <c r="C39" i="12"/>
  <c r="B39" i="12"/>
  <c r="F38" i="12"/>
  <c r="E38" i="12"/>
  <c r="D38" i="12"/>
  <c r="C38" i="12"/>
  <c r="B38" i="12"/>
  <c r="F37" i="12"/>
  <c r="E37" i="12"/>
  <c r="D37" i="12"/>
  <c r="C37" i="12"/>
  <c r="B37" i="12"/>
  <c r="F36" i="12"/>
  <c r="E36" i="12"/>
  <c r="D36" i="12"/>
  <c r="C36" i="12"/>
  <c r="B36" i="12"/>
  <c r="F35" i="12"/>
  <c r="E35" i="12"/>
  <c r="D35" i="12"/>
  <c r="G35" i="12" s="1" a="1"/>
  <c r="C35" i="12"/>
  <c r="B35" i="12"/>
  <c r="F34" i="12"/>
  <c r="E34" i="12"/>
  <c r="E41" i="12" s="1"/>
  <c r="D34" i="12"/>
  <c r="C34" i="12"/>
  <c r="B34" i="12"/>
  <c r="F33" i="12"/>
  <c r="E33" i="12"/>
  <c r="D33" i="12"/>
  <c r="C33" i="12"/>
  <c r="B33" i="12"/>
  <c r="G33" i="12" s="1" a="1"/>
  <c r="F32" i="12"/>
  <c r="E32" i="12"/>
  <c r="D32" i="12"/>
  <c r="C32" i="12"/>
  <c r="C45" i="12" s="1" a="1"/>
  <c r="B32" i="12"/>
  <c r="F31" i="12"/>
  <c r="E31" i="12"/>
  <c r="D31" i="12"/>
  <c r="C31" i="12"/>
  <c r="B31" i="12"/>
  <c r="F30" i="12"/>
  <c r="E30" i="12"/>
  <c r="D30" i="12"/>
  <c r="C30" i="12"/>
  <c r="B30" i="12"/>
  <c r="F29" i="12"/>
  <c r="E29" i="12"/>
  <c r="D29" i="12"/>
  <c r="C29" i="12"/>
  <c r="G29" i="12" s="1" a="1"/>
  <c r="B29" i="12"/>
  <c r="F28" i="12"/>
  <c r="E28" i="12"/>
  <c r="D28" i="12"/>
  <c r="G28" i="12" s="1" a="1"/>
  <c r="C28" i="12"/>
  <c r="B28" i="12"/>
  <c r="F27" i="12"/>
  <c r="E27" i="12"/>
  <c r="D27" i="12"/>
  <c r="C27" i="12"/>
  <c r="B27" i="12"/>
  <c r="F26" i="12"/>
  <c r="E26" i="12"/>
  <c r="D26" i="12"/>
  <c r="C26" i="12"/>
  <c r="B26" i="12"/>
  <c r="F25" i="12"/>
  <c r="E25" i="12"/>
  <c r="D25" i="12"/>
  <c r="G25" i="12" s="1" a="1"/>
  <c r="C25" i="12"/>
  <c r="B25" i="12"/>
  <c r="F24" i="12"/>
  <c r="E24" i="12"/>
  <c r="D24" i="12"/>
  <c r="C24" i="12"/>
  <c r="B24" i="12"/>
  <c r="F23" i="12"/>
  <c r="E23" i="12"/>
  <c r="D23" i="12"/>
  <c r="C23" i="12"/>
  <c r="B23" i="12"/>
  <c r="B14" i="12"/>
  <c r="C14" i="12"/>
  <c r="D14" i="12"/>
  <c r="E14" i="12"/>
  <c r="F14" i="12"/>
  <c r="B15" i="12"/>
  <c r="C15" i="12"/>
  <c r="D15" i="12"/>
  <c r="E15" i="12"/>
  <c r="F15" i="12"/>
  <c r="D16" i="12"/>
  <c r="C13" i="12"/>
  <c r="D13" i="12"/>
  <c r="E13" i="12"/>
  <c r="F13" i="12"/>
  <c r="B13" i="12"/>
  <c r="B10" i="12"/>
  <c r="G27" i="12" a="1"/>
  <c r="A35" i="12"/>
  <c r="H35" i="12"/>
  <c r="A36" i="12"/>
  <c r="H36" i="12" s="1"/>
  <c r="A37" i="12"/>
  <c r="H37" i="12" s="1"/>
  <c r="A38" i="12"/>
  <c r="H38" i="12" s="1"/>
  <c r="A39" i="12"/>
  <c r="H39" i="12" s="1"/>
  <c r="A40" i="12"/>
  <c r="H40" i="12" s="1"/>
  <c r="A34" i="12"/>
  <c r="H34" i="12"/>
  <c r="A29" i="12"/>
  <c r="H29" i="12" s="1"/>
  <c r="A30" i="12"/>
  <c r="H30" i="12"/>
  <c r="A31" i="12"/>
  <c r="H31" i="12" s="1"/>
  <c r="A32" i="12"/>
  <c r="H32" i="12" s="1"/>
  <c r="A33" i="12"/>
  <c r="H33" i="12" s="1"/>
  <c r="A24" i="12"/>
  <c r="H24" i="12" s="1"/>
  <c r="A25" i="12"/>
  <c r="H25" i="12" s="1"/>
  <c r="A26" i="12"/>
  <c r="H26" i="12"/>
  <c r="A27" i="12"/>
  <c r="H27" i="12" s="1"/>
  <c r="A28" i="12"/>
  <c r="H28" i="12"/>
  <c r="A23" i="12"/>
  <c r="H23" i="12" s="1"/>
  <c r="E44" i="15"/>
  <c r="L42" i="15" s="1"/>
  <c r="L27" i="15"/>
  <c r="L29" i="15"/>
  <c r="L35" i="15"/>
  <c r="D44" i="15"/>
  <c r="K26" i="15" s="1"/>
  <c r="D43" i="15"/>
  <c r="C43" i="15"/>
  <c r="F43" i="15"/>
  <c r="G43" i="15"/>
  <c r="E43" i="15"/>
  <c r="H23" i="15" a="1"/>
  <c r="H23" i="15"/>
  <c r="H24" i="15" a="1"/>
  <c r="H25" i="15" a="1"/>
  <c r="H25" i="15" s="1"/>
  <c r="H26" i="15" a="1"/>
  <c r="H26" i="15" s="1"/>
  <c r="H27" i="15" a="1"/>
  <c r="H27" i="15"/>
  <c r="H28" i="15" a="1"/>
  <c r="H29" i="15" a="1"/>
  <c r="H29" i="15"/>
  <c r="H30" i="15" a="1"/>
  <c r="H30" i="15" s="1"/>
  <c r="H31" i="15" a="1"/>
  <c r="H31" i="15"/>
  <c r="H32" i="15" a="1"/>
  <c r="H33" i="15" a="1"/>
  <c r="H33" i="15"/>
  <c r="H34" i="15" a="1"/>
  <c r="H34" i="15" s="1"/>
  <c r="H35" i="15" a="1"/>
  <c r="H35" i="15"/>
  <c r="H36" i="15" a="1"/>
  <c r="H36" i="15" s="1"/>
  <c r="H37" i="15" a="1"/>
  <c r="H38" i="15" a="1"/>
  <c r="H38" i="15"/>
  <c r="H39" i="15" a="1"/>
  <c r="H40" i="15" a="1"/>
  <c r="H41" i="15" a="1"/>
  <c r="H41" i="15" s="1"/>
  <c r="H42" i="15" a="1"/>
  <c r="H42" i="15" s="1"/>
  <c r="C44" i="15"/>
  <c r="J23" i="15" s="1"/>
  <c r="J42" i="15"/>
  <c r="J29" i="15"/>
  <c r="J35" i="15"/>
  <c r="J37" i="15"/>
  <c r="F44" i="15"/>
  <c r="M25" i="15" s="1"/>
  <c r="M23" i="15"/>
  <c r="M29" i="15"/>
  <c r="M31" i="15"/>
  <c r="M37" i="15"/>
  <c r="M39" i="15"/>
  <c r="G44" i="15"/>
  <c r="N23" i="15"/>
  <c r="N24" i="15"/>
  <c r="N26" i="15"/>
  <c r="N28" i="15"/>
  <c r="N30" i="15"/>
  <c r="N32" i="15"/>
  <c r="N34" i="15"/>
  <c r="N36" i="15"/>
  <c r="N38" i="15"/>
  <c r="N40" i="15"/>
  <c r="N42" i="15"/>
  <c r="G16" i="15"/>
  <c r="C16" i="15"/>
  <c r="D16" i="15"/>
  <c r="F16" i="15"/>
  <c r="H37" i="15"/>
  <c r="H39" i="15"/>
  <c r="H40" i="15"/>
  <c r="H24" i="15"/>
  <c r="H28" i="15"/>
  <c r="H32" i="15"/>
  <c r="A12" i="4"/>
  <c r="B12" i="4"/>
  <c r="K12" i="4"/>
  <c r="A13" i="4"/>
  <c r="B31" i="4"/>
  <c r="H31" i="4"/>
  <c r="L12" i="4"/>
  <c r="B11" i="4"/>
  <c r="L11" i="4" s="1"/>
  <c r="D7" i="4"/>
  <c r="D6" i="4"/>
  <c r="D31" i="4"/>
  <c r="E31" i="4" s="1"/>
  <c r="D30" i="4"/>
  <c r="F30" i="4"/>
  <c r="D29" i="4"/>
  <c r="E29" i="4" s="1"/>
  <c r="D28" i="4"/>
  <c r="F28" i="4"/>
  <c r="D27" i="4"/>
  <c r="E27" i="4" s="1"/>
  <c r="D26" i="4"/>
  <c r="F26" i="4"/>
  <c r="D25" i="4"/>
  <c r="E25" i="4" s="1"/>
  <c r="D24" i="4"/>
  <c r="F24" i="4"/>
  <c r="D23" i="4"/>
  <c r="E23" i="4" s="1"/>
  <c r="D22" i="4"/>
  <c r="F22" i="4"/>
  <c r="D21" i="4"/>
  <c r="E21" i="4" s="1"/>
  <c r="D20" i="4"/>
  <c r="F20" i="4"/>
  <c r="D19" i="4"/>
  <c r="E19" i="4" s="1"/>
  <c r="D18" i="4"/>
  <c r="F18" i="4"/>
  <c r="D17" i="4"/>
  <c r="E17" i="4" s="1"/>
  <c r="D16" i="4"/>
  <c r="F16" i="4"/>
  <c r="D15" i="4"/>
  <c r="E15" i="4" s="1"/>
  <c r="D14" i="4"/>
  <c r="F14" i="4"/>
  <c r="D13" i="4"/>
  <c r="E13" i="4" s="1"/>
  <c r="D12" i="4"/>
  <c r="F12" i="4"/>
  <c r="D11" i="4"/>
  <c r="F11" i="4" s="1"/>
  <c r="E6" i="4"/>
  <c r="E7" i="4"/>
  <c r="B23" i="5" a="1"/>
  <c r="B23" i="5"/>
  <c r="D23" i="5" a="1"/>
  <c r="D23" i="5" s="1"/>
  <c r="J14" i="5"/>
  <c r="K14" i="5"/>
  <c r="L14" i="5"/>
  <c r="M14" i="5"/>
  <c r="I14" i="5"/>
  <c r="I23" i="5" a="1"/>
  <c r="I23" i="5" s="1"/>
  <c r="K23" i="5" a="1"/>
  <c r="K23" i="5"/>
  <c r="I22" i="5" s="1"/>
  <c r="K22" i="5"/>
  <c r="R13" i="5"/>
  <c r="P14" i="5"/>
  <c r="Q14" i="5"/>
  <c r="Q16" i="5"/>
  <c r="R16" i="5"/>
  <c r="P16" i="5"/>
  <c r="Q15" i="5"/>
  <c r="R15" i="5"/>
  <c r="P15" i="5"/>
  <c r="Q13" i="5"/>
  <c r="P13" i="5"/>
  <c r="J25" i="3"/>
  <c r="J29" i="3" s="1"/>
  <c r="H25" i="3"/>
  <c r="H29" i="3"/>
  <c r="K25" i="3"/>
  <c r="K29" i="3"/>
  <c r="V29" i="16"/>
  <c r="V11" i="16"/>
  <c r="V13" i="16"/>
  <c r="V15" i="16"/>
  <c r="AD9" i="16" s="1"/>
  <c r="AB35" i="16" s="1"/>
  <c r="V17" i="16"/>
  <c r="V19" i="16"/>
  <c r="V21" i="16"/>
  <c r="V23" i="16"/>
  <c r="V49" i="16" s="1"/>
  <c r="V25" i="16"/>
  <c r="V27" i="16"/>
  <c r="F32" i="10"/>
  <c r="J22" i="5"/>
  <c r="A14" i="4"/>
  <c r="K14" i="4" s="1"/>
  <c r="N14" i="4" s="1"/>
  <c r="P14" i="4" s="1"/>
  <c r="B14" i="4"/>
  <c r="M22" i="5"/>
  <c r="L24" i="9"/>
  <c r="L25" i="9"/>
  <c r="L27" i="9"/>
  <c r="L29" i="9"/>
  <c r="L31" i="9"/>
  <c r="L33" i="9"/>
  <c r="L35" i="9"/>
  <c r="L37" i="9"/>
  <c r="L39" i="9"/>
  <c r="L41" i="9"/>
  <c r="Y22" i="16"/>
  <c r="W48" i="16" s="1"/>
  <c r="Y16" i="16"/>
  <c r="W42" i="16"/>
  <c r="Y10" i="16"/>
  <c r="W36" i="16" s="1"/>
  <c r="AE16" i="16"/>
  <c r="AC42" i="16" s="1"/>
  <c r="AE12" i="16"/>
  <c r="AC38" i="16" s="1"/>
  <c r="AE10" i="16"/>
  <c r="AC36" i="16"/>
  <c r="K25" i="15"/>
  <c r="K33" i="15"/>
  <c r="K41" i="15"/>
  <c r="J24" i="9"/>
  <c r="J25" i="9"/>
  <c r="J27" i="9"/>
  <c r="J29" i="9"/>
  <c r="J31" i="9"/>
  <c r="J33" i="9"/>
  <c r="J35" i="9"/>
  <c r="J37" i="9"/>
  <c r="J39" i="9"/>
  <c r="J41" i="9"/>
  <c r="M42" i="15"/>
  <c r="M24" i="15"/>
  <c r="M26" i="15"/>
  <c r="M28" i="15"/>
  <c r="M30" i="15"/>
  <c r="M32" i="15"/>
  <c r="M34" i="15"/>
  <c r="M36" i="15"/>
  <c r="M38" i="15"/>
  <c r="M40" i="15"/>
  <c r="C41" i="12"/>
  <c r="C45" i="12"/>
  <c r="E45" i="12" a="1"/>
  <c r="E45" i="12" s="1"/>
  <c r="G24" i="12" a="1"/>
  <c r="G24" i="12" s="1"/>
  <c r="M24" i="9"/>
  <c r="M26" i="9"/>
  <c r="M28" i="9"/>
  <c r="M30" i="9"/>
  <c r="M32" i="9"/>
  <c r="M34" i="9"/>
  <c r="M36" i="9"/>
  <c r="M38" i="9"/>
  <c r="M40" i="9"/>
  <c r="K24" i="9"/>
  <c r="K26" i="9"/>
  <c r="K28" i="9"/>
  <c r="K30" i="9"/>
  <c r="K32" i="9"/>
  <c r="K34" i="9"/>
  <c r="K36" i="9"/>
  <c r="K38" i="9"/>
  <c r="K40" i="9"/>
  <c r="I24" i="9"/>
  <c r="I26" i="9"/>
  <c r="I28" i="9"/>
  <c r="I30" i="9"/>
  <c r="I32" i="9"/>
  <c r="I34" i="9"/>
  <c r="I36" i="9"/>
  <c r="I38" i="9"/>
  <c r="I40" i="9"/>
  <c r="A12" i="14"/>
  <c r="B12" i="14"/>
  <c r="D12" i="14" s="1"/>
  <c r="F12" i="14"/>
  <c r="B11" i="14"/>
  <c r="C11" i="14"/>
  <c r="K28" i="15"/>
  <c r="L40" i="9"/>
  <c r="J38" i="9"/>
  <c r="L36" i="9"/>
  <c r="J34" i="9"/>
  <c r="L32" i="9"/>
  <c r="J30" i="9"/>
  <c r="L28" i="9"/>
  <c r="J26" i="9"/>
  <c r="F25" i="3"/>
  <c r="F29" i="3" s="1"/>
  <c r="D25" i="3"/>
  <c r="D29" i="3" s="1"/>
  <c r="X10" i="16"/>
  <c r="V10" i="16"/>
  <c r="X12" i="16"/>
  <c r="V12" i="16"/>
  <c r="X14" i="16"/>
  <c r="V14" i="16"/>
  <c r="X16" i="16"/>
  <c r="V16" i="16"/>
  <c r="X18" i="16"/>
  <c r="V18" i="16"/>
  <c r="X20" i="16"/>
  <c r="V20" i="16"/>
  <c r="X22" i="16"/>
  <c r="V22" i="16"/>
  <c r="X24" i="16"/>
  <c r="V24" i="16"/>
  <c r="X26" i="16"/>
  <c r="X28" i="16"/>
  <c r="V28" i="16"/>
  <c r="AQ9" i="16" s="1"/>
  <c r="V31" i="10"/>
  <c r="T31" i="10"/>
  <c r="R31" i="10"/>
  <c r="P31" i="10"/>
  <c r="N31" i="10"/>
  <c r="L31" i="10"/>
  <c r="J31" i="10"/>
  <c r="H31" i="10"/>
  <c r="F31" i="10"/>
  <c r="U48" i="10"/>
  <c r="S48" i="10"/>
  <c r="Q48" i="10"/>
  <c r="O48" i="10"/>
  <c r="M48" i="10"/>
  <c r="K48" i="10"/>
  <c r="I48" i="10"/>
  <c r="G48" i="10"/>
  <c r="E48" i="10"/>
  <c r="U47" i="10"/>
  <c r="S47" i="10"/>
  <c r="Q47" i="10"/>
  <c r="O47" i="10"/>
  <c r="M47" i="10"/>
  <c r="K47" i="10"/>
  <c r="I47" i="10"/>
  <c r="G47" i="10"/>
  <c r="E47" i="10"/>
  <c r="U46" i="10"/>
  <c r="S46" i="10"/>
  <c r="Q46" i="10"/>
  <c r="O46" i="10"/>
  <c r="M46" i="10"/>
  <c r="K46" i="10"/>
  <c r="I46" i="10"/>
  <c r="G46" i="10"/>
  <c r="E46" i="10"/>
  <c r="U45" i="10"/>
  <c r="S45" i="10"/>
  <c r="Q45" i="10"/>
  <c r="O45" i="10"/>
  <c r="M45" i="10"/>
  <c r="K45" i="10"/>
  <c r="I45" i="10"/>
  <c r="G45" i="10"/>
  <c r="E45" i="10"/>
  <c r="U44" i="10"/>
  <c r="S44" i="10"/>
  <c r="Q44" i="10"/>
  <c r="O44" i="10"/>
  <c r="M44" i="10"/>
  <c r="K44" i="10"/>
  <c r="I44" i="10"/>
  <c r="G44" i="10"/>
  <c r="E44" i="10"/>
  <c r="U43" i="10"/>
  <c r="S43" i="10"/>
  <c r="Q43" i="10"/>
  <c r="O43" i="10"/>
  <c r="M43" i="10"/>
  <c r="K43" i="10"/>
  <c r="I43" i="10"/>
  <c r="G43" i="10"/>
  <c r="E43" i="10"/>
  <c r="U42" i="10"/>
  <c r="S42" i="10"/>
  <c r="Q42" i="10"/>
  <c r="O42" i="10"/>
  <c r="M42" i="10"/>
  <c r="K42" i="10"/>
  <c r="I42" i="10"/>
  <c r="G42" i="10"/>
  <c r="E42" i="10"/>
  <c r="U41" i="10"/>
  <c r="S41" i="10"/>
  <c r="Q41" i="10"/>
  <c r="O41" i="10"/>
  <c r="M41" i="10"/>
  <c r="K41" i="10"/>
  <c r="I41" i="10"/>
  <c r="G41" i="10"/>
  <c r="E41" i="10"/>
  <c r="U40" i="10"/>
  <c r="S40" i="10"/>
  <c r="Q40" i="10"/>
  <c r="O40" i="10"/>
  <c r="M40" i="10"/>
  <c r="K40" i="10"/>
  <c r="I40" i="10"/>
  <c r="G40" i="10"/>
  <c r="E40" i="10"/>
  <c r="U39" i="10"/>
  <c r="S39" i="10"/>
  <c r="Q39" i="10"/>
  <c r="O39" i="10"/>
  <c r="M39" i="10"/>
  <c r="K39" i="10"/>
  <c r="I39" i="10"/>
  <c r="G39" i="10"/>
  <c r="E39" i="10"/>
  <c r="U38" i="10"/>
  <c r="S38" i="10"/>
  <c r="Q38" i="10"/>
  <c r="O38" i="10"/>
  <c r="M38" i="10"/>
  <c r="K38" i="10"/>
  <c r="I38" i="10"/>
  <c r="G38" i="10"/>
  <c r="E38" i="10"/>
  <c r="U37" i="10"/>
  <c r="S37" i="10"/>
  <c r="Q37" i="10"/>
  <c r="O37" i="10"/>
  <c r="M37" i="10"/>
  <c r="K37" i="10"/>
  <c r="I37" i="10"/>
  <c r="G37" i="10"/>
  <c r="E37" i="10"/>
  <c r="U36" i="10"/>
  <c r="S36" i="10"/>
  <c r="Q36" i="10"/>
  <c r="O36" i="10"/>
  <c r="M36" i="10"/>
  <c r="K36" i="10"/>
  <c r="I36" i="10"/>
  <c r="G36" i="10"/>
  <c r="E36" i="10"/>
  <c r="U35" i="10"/>
  <c r="S35" i="10"/>
  <c r="Q35" i="10"/>
  <c r="O35" i="10"/>
  <c r="M35" i="10"/>
  <c r="K35" i="10"/>
  <c r="I35" i="10"/>
  <c r="G35" i="10"/>
  <c r="E35" i="10"/>
  <c r="U34" i="10"/>
  <c r="S34" i="10"/>
  <c r="Q34" i="10"/>
  <c r="O34" i="10"/>
  <c r="M34" i="10"/>
  <c r="K34" i="10"/>
  <c r="I34" i="10"/>
  <c r="G34" i="10"/>
  <c r="E34" i="10"/>
  <c r="U33" i="10"/>
  <c r="S33" i="10"/>
  <c r="Q33" i="10"/>
  <c r="O33" i="10"/>
  <c r="M33" i="10"/>
  <c r="K33" i="10"/>
  <c r="I33" i="10"/>
  <c r="G33" i="10"/>
  <c r="E33" i="10"/>
  <c r="U32" i="10"/>
  <c r="S32" i="10"/>
  <c r="Q32" i="10"/>
  <c r="O32" i="10"/>
  <c r="M32" i="10"/>
  <c r="K32" i="10"/>
  <c r="I32" i="10"/>
  <c r="G32" i="10"/>
  <c r="AS25" i="16"/>
  <c r="V51" i="16"/>
  <c r="AN9" i="16"/>
  <c r="AL35" i="16" s="1"/>
  <c r="B38" i="15"/>
  <c r="I38" i="15"/>
  <c r="AJ9" i="16"/>
  <c r="AH35" i="16" s="1"/>
  <c r="V47" i="16"/>
  <c r="B34" i="15"/>
  <c r="I34" i="15"/>
  <c r="AS21" i="16"/>
  <c r="AF9" i="16"/>
  <c r="AD35" i="16"/>
  <c r="AS17" i="16"/>
  <c r="B30" i="15"/>
  <c r="I30" i="15" s="1"/>
  <c r="V43" i="16"/>
  <c r="AB9" i="16"/>
  <c r="Z35" i="16"/>
  <c r="V39" i="16"/>
  <c r="B26" i="15"/>
  <c r="I26" i="15"/>
  <c r="AS13" i="16"/>
  <c r="V55" i="16"/>
  <c r="AR9" i="16"/>
  <c r="AP35" i="16"/>
  <c r="B42" i="15"/>
  <c r="I42" i="15" s="1"/>
  <c r="AS29" i="16"/>
  <c r="AP9" i="16"/>
  <c r="AN35" i="16"/>
  <c r="V53" i="16"/>
  <c r="AH9" i="16"/>
  <c r="AF35" i="16"/>
  <c r="V45" i="16"/>
  <c r="V41" i="16"/>
  <c r="Z9" i="16"/>
  <c r="X35" i="16"/>
  <c r="V37" i="16"/>
  <c r="V54" i="16"/>
  <c r="AO35" i="16"/>
  <c r="AS28" i="16"/>
  <c r="B41" i="15"/>
  <c r="I41" i="15" s="1"/>
  <c r="V50" i="16"/>
  <c r="AM9" i="16"/>
  <c r="AK35" i="16"/>
  <c r="AS24" i="16"/>
  <c r="B37" i="15"/>
  <c r="I37" i="15" s="1"/>
  <c r="AS22" i="16"/>
  <c r="AK9" i="16"/>
  <c r="AI35" i="16"/>
  <c r="V48" i="16"/>
  <c r="B35" i="15"/>
  <c r="I35" i="15"/>
  <c r="AS20" i="16"/>
  <c r="AI9" i="16"/>
  <c r="AG35" i="16"/>
  <c r="V46" i="16"/>
  <c r="B33" i="15"/>
  <c r="I33" i="15" s="1"/>
  <c r="AS18" i="16"/>
  <c r="AG9" i="16"/>
  <c r="AE35" i="16"/>
  <c r="V44" i="16"/>
  <c r="B31" i="15"/>
  <c r="I31" i="15" s="1"/>
  <c r="AS16" i="16"/>
  <c r="V42" i="16"/>
  <c r="AE9" i="16"/>
  <c r="AC35" i="16" s="1"/>
  <c r="B29" i="15"/>
  <c r="I29" i="15" s="1"/>
  <c r="AC9" i="16"/>
  <c r="AA35" i="16"/>
  <c r="V40" i="16"/>
  <c r="AS14" i="16"/>
  <c r="B27" i="15"/>
  <c r="I27" i="15"/>
  <c r="V38" i="16"/>
  <c r="AS12" i="16"/>
  <c r="AA9" i="16"/>
  <c r="Y35" i="16"/>
  <c r="B25" i="15"/>
  <c r="I25" i="15" s="1"/>
  <c r="AS10" i="16"/>
  <c r="Y9" i="16"/>
  <c r="W35" i="16"/>
  <c r="V36" i="16"/>
  <c r="B23" i="15"/>
  <c r="I23" i="15"/>
  <c r="I42" i="9" a="1"/>
  <c r="I42" i="9" s="1"/>
  <c r="C12" i="14"/>
  <c r="E12" i="14"/>
  <c r="G12" i="14"/>
  <c r="A13" i="14"/>
  <c r="A15" i="4"/>
  <c r="B15" i="4"/>
  <c r="L14" i="4"/>
  <c r="A16" i="4"/>
  <c r="K16" i="4" s="1"/>
  <c r="B16" i="4"/>
  <c r="A17" i="4"/>
  <c r="K21" i="5"/>
  <c r="K40" i="5"/>
  <c r="M21" i="5"/>
  <c r="M40" i="5" s="1"/>
  <c r="J21" i="5"/>
  <c r="J40" i="5"/>
  <c r="I21" i="5"/>
  <c r="I40" i="5" s="1"/>
  <c r="L21" i="5"/>
  <c r="F21" i="5"/>
  <c r="B21" i="5"/>
  <c r="C21" i="5"/>
  <c r="D21" i="5"/>
  <c r="E21" i="5"/>
  <c r="E11" i="14"/>
  <c r="B17" i="4"/>
  <c r="J17" i="4" s="1"/>
  <c r="B22" i="5"/>
  <c r="D42" i="12"/>
  <c r="J40" i="9"/>
  <c r="L38" i="9"/>
  <c r="J36" i="9"/>
  <c r="L34" i="9"/>
  <c r="J32" i="9"/>
  <c r="L30" i="9"/>
  <c r="L42" i="9" a="1"/>
  <c r="L42" i="9" s="1"/>
  <c r="R41" i="9" s="1"/>
  <c r="O29" i="3"/>
  <c r="I29" i="3"/>
  <c r="E29" i="3"/>
  <c r="M56" i="3"/>
  <c r="U27" i="16"/>
  <c r="U28" i="16"/>
  <c r="H34" i="10"/>
  <c r="J33" i="10"/>
  <c r="L32" i="10"/>
  <c r="C10" i="14"/>
  <c r="E10" i="14"/>
  <c r="D11" i="14"/>
  <c r="F11" i="14"/>
  <c r="D28" i="3"/>
  <c r="D31" i="3" s="1"/>
  <c r="M19" i="3"/>
  <c r="G19" i="3"/>
  <c r="O61" i="3"/>
  <c r="E11" i="4"/>
  <c r="E30" i="4"/>
  <c r="E28" i="4"/>
  <c r="E26" i="4"/>
  <c r="E24" i="4"/>
  <c r="E22" i="4"/>
  <c r="E20" i="4"/>
  <c r="E18" i="4"/>
  <c r="E16" i="4"/>
  <c r="E14" i="4"/>
  <c r="E12" i="4"/>
  <c r="F31" i="4"/>
  <c r="F29" i="4"/>
  <c r="F27" i="4"/>
  <c r="F25" i="4"/>
  <c r="F23" i="4"/>
  <c r="F21" i="4"/>
  <c r="F19" i="4"/>
  <c r="F17" i="4"/>
  <c r="F15" i="4"/>
  <c r="F13" i="4"/>
  <c r="G11" i="4"/>
  <c r="G14" i="4"/>
  <c r="G12" i="4"/>
  <c r="H14" i="4"/>
  <c r="H12" i="4"/>
  <c r="K11" i="4"/>
  <c r="K31" i="4"/>
  <c r="L31" i="4"/>
  <c r="C22" i="5"/>
  <c r="C40" i="5" s="1"/>
  <c r="D22" i="5"/>
  <c r="B13" i="4"/>
  <c r="G13" i="4"/>
  <c r="N41" i="15"/>
  <c r="N39" i="15"/>
  <c r="N37" i="15"/>
  <c r="N35" i="15"/>
  <c r="N33" i="15"/>
  <c r="N31" i="15"/>
  <c r="N29" i="15"/>
  <c r="N27" i="15"/>
  <c r="N25" i="15"/>
  <c r="J40" i="15"/>
  <c r="J38" i="15"/>
  <c r="J36" i="15"/>
  <c r="J34" i="15"/>
  <c r="J32" i="15"/>
  <c r="J30" i="15"/>
  <c r="J28" i="15"/>
  <c r="J26" i="15"/>
  <c r="J24" i="15"/>
  <c r="L40" i="15"/>
  <c r="L38" i="15"/>
  <c r="L36" i="15"/>
  <c r="L34" i="15"/>
  <c r="L32" i="15"/>
  <c r="L30" i="15"/>
  <c r="L28" i="15"/>
  <c r="L26" i="15"/>
  <c r="L24" i="15"/>
  <c r="F41" i="12"/>
  <c r="C42" i="12"/>
  <c r="E44" i="12" a="1"/>
  <c r="E44" i="12"/>
  <c r="G26" i="12" a="1"/>
  <c r="G26" i="12"/>
  <c r="N26" i="12" s="1"/>
  <c r="G28" i="12"/>
  <c r="G30" i="12" a="1"/>
  <c r="G30" i="12"/>
  <c r="G34" i="12" a="1"/>
  <c r="G34" i="12"/>
  <c r="G38" i="12" a="1"/>
  <c r="G38" i="12" s="1"/>
  <c r="G40" i="12"/>
  <c r="F48" i="9"/>
  <c r="B62" i="3"/>
  <c r="G31" i="4"/>
  <c r="H11" i="4"/>
  <c r="B46" i="3"/>
  <c r="K27" i="12"/>
  <c r="K29" i="12"/>
  <c r="K37" i="12"/>
  <c r="K36" i="12"/>
  <c r="K30" i="12"/>
  <c r="K25" i="12"/>
  <c r="K33" i="12"/>
  <c r="K28" i="12"/>
  <c r="E48" i="9"/>
  <c r="K24" i="3"/>
  <c r="K28" i="3" s="1"/>
  <c r="K31" i="3" s="1"/>
  <c r="G24" i="3"/>
  <c r="G28" i="3"/>
  <c r="N41" i="3"/>
  <c r="N45" i="3" s="1"/>
  <c r="N48" i="3" s="1"/>
  <c r="O42" i="3"/>
  <c r="O46" i="3"/>
  <c r="I42" i="3"/>
  <c r="I46" i="3" s="1"/>
  <c r="F7" i="4"/>
  <c r="N31" i="4" s="1"/>
  <c r="P31" i="4" s="1"/>
  <c r="D45" i="12" a="1"/>
  <c r="D45" i="12"/>
  <c r="D41" i="12"/>
  <c r="B41" i="12"/>
  <c r="G41" i="12" s="1"/>
  <c r="K24" i="12"/>
  <c r="F45" i="12" a="1"/>
  <c r="F45" i="12"/>
  <c r="G25" i="12"/>
  <c r="E42" i="12"/>
  <c r="K26" i="12"/>
  <c r="G27" i="12"/>
  <c r="G29" i="12"/>
  <c r="K32" i="12"/>
  <c r="G33" i="12"/>
  <c r="K34" i="12"/>
  <c r="G35" i="12"/>
  <c r="K38" i="12"/>
  <c r="K40" i="12"/>
  <c r="W11" i="16"/>
  <c r="W15" i="16"/>
  <c r="W19" i="16"/>
  <c r="U23" i="16"/>
  <c r="U24" i="16"/>
  <c r="W25" i="16"/>
  <c r="L38" i="10"/>
  <c r="V37" i="10"/>
  <c r="N37" i="10"/>
  <c r="F37" i="10"/>
  <c r="P36" i="10"/>
  <c r="H36" i="10"/>
  <c r="R35" i="10"/>
  <c r="J35" i="10"/>
  <c r="T34" i="10"/>
  <c r="L34" i="10"/>
  <c r="V33" i="10"/>
  <c r="N33" i="10"/>
  <c r="F33" i="10"/>
  <c r="P32" i="10"/>
  <c r="H32" i="10"/>
  <c r="N25" i="3"/>
  <c r="N29" i="3"/>
  <c r="O24" i="3"/>
  <c r="O28" i="3" s="1"/>
  <c r="O31" i="3" s="1"/>
  <c r="I24" i="3"/>
  <c r="I28" i="3"/>
  <c r="I31" i="3" s="1"/>
  <c r="E24" i="3"/>
  <c r="E28" i="3" s="1"/>
  <c r="E31" i="3" s="1"/>
  <c r="D41" i="3"/>
  <c r="D45" i="3"/>
  <c r="D42" i="3"/>
  <c r="D46" i="3" s="1"/>
  <c r="K42" i="3"/>
  <c r="K46" i="3" s="1"/>
  <c r="K48" i="3" s="1"/>
  <c r="G42" i="3"/>
  <c r="G46" i="3"/>
  <c r="AS27" i="16"/>
  <c r="B40" i="15"/>
  <c r="I40" i="15" s="1"/>
  <c r="AS23" i="16"/>
  <c r="AL9" i="16"/>
  <c r="AJ35" i="16"/>
  <c r="B36" i="15"/>
  <c r="I36" i="15" s="1"/>
  <c r="AS19" i="16"/>
  <c r="B32" i="15"/>
  <c r="I32" i="15"/>
  <c r="AS15" i="16"/>
  <c r="B28" i="15"/>
  <c r="I28" i="15"/>
  <c r="AS11" i="16"/>
  <c r="B24" i="15"/>
  <c r="I24" i="15"/>
  <c r="C48" i="9"/>
  <c r="B48" i="9"/>
  <c r="B47" i="9"/>
  <c r="D48" i="9"/>
  <c r="I11" i="4"/>
  <c r="I31" i="4"/>
  <c r="I15" i="4"/>
  <c r="I12" i="4"/>
  <c r="I14" i="4"/>
  <c r="I13" i="4"/>
  <c r="C44" i="12" a="1"/>
  <c r="C44" i="12"/>
  <c r="J13" i="4"/>
  <c r="J15" i="4"/>
  <c r="J31" i="4"/>
  <c r="J12" i="4"/>
  <c r="N12" i="4" s="1"/>
  <c r="P12" i="4" s="1"/>
  <c r="J14" i="4"/>
  <c r="J16" i="4"/>
  <c r="J11" i="4"/>
  <c r="B44" i="12" a="1"/>
  <c r="B44" i="12"/>
  <c r="K39" i="12"/>
  <c r="K35" i="12"/>
  <c r="K31" i="12"/>
  <c r="K23" i="12"/>
  <c r="D44" i="12" a="1"/>
  <c r="D44" i="12" s="1"/>
  <c r="B24" i="3"/>
  <c r="B28" i="3" s="1"/>
  <c r="B31" i="3" s="1"/>
  <c r="M24" i="3"/>
  <c r="M28" i="3" s="1"/>
  <c r="B25" i="3"/>
  <c r="B29" i="3" s="1"/>
  <c r="B41" i="3"/>
  <c r="B45" i="3"/>
  <c r="L41" i="3"/>
  <c r="L45" i="3" s="1"/>
  <c r="L48" i="3" s="1"/>
  <c r="J41" i="3"/>
  <c r="J45" i="3"/>
  <c r="J48" i="3" s="1"/>
  <c r="H41" i="3"/>
  <c r="H45" i="3" s="1"/>
  <c r="H48" i="3"/>
  <c r="F41" i="3"/>
  <c r="F45" i="3" s="1"/>
  <c r="F48" i="3" s="1"/>
  <c r="M42" i="3"/>
  <c r="M46" i="3"/>
  <c r="U29" i="16"/>
  <c r="U11" i="16"/>
  <c r="U13" i="16"/>
  <c r="U15" i="16"/>
  <c r="U17" i="16"/>
  <c r="U19" i="16"/>
  <c r="U21" i="16"/>
  <c r="U25" i="16"/>
  <c r="U31" i="10"/>
  <c r="Q31" i="10"/>
  <c r="M31" i="10"/>
  <c r="I31" i="10"/>
  <c r="V48" i="10"/>
  <c r="R48" i="10"/>
  <c r="N48" i="10"/>
  <c r="J48" i="10"/>
  <c r="F48" i="10"/>
  <c r="T47" i="10"/>
  <c r="P47" i="10"/>
  <c r="L47" i="10"/>
  <c r="H47" i="10"/>
  <c r="V46" i="10"/>
  <c r="R46" i="10"/>
  <c r="N46" i="10"/>
  <c r="J46" i="10"/>
  <c r="F46" i="10"/>
  <c r="T45" i="10"/>
  <c r="P45" i="10"/>
  <c r="L45" i="10"/>
  <c r="H45" i="10"/>
  <c r="V44" i="10"/>
  <c r="R44" i="10"/>
  <c r="N44" i="10"/>
  <c r="J44" i="10"/>
  <c r="F44" i="10"/>
  <c r="T43" i="10"/>
  <c r="P43" i="10"/>
  <c r="L43" i="10"/>
  <c r="H43" i="10"/>
  <c r="V42" i="10"/>
  <c r="R42" i="10"/>
  <c r="N42" i="10"/>
  <c r="J42" i="10"/>
  <c r="F42" i="10"/>
  <c r="T41" i="10"/>
  <c r="P41" i="10"/>
  <c r="L41" i="10"/>
  <c r="H41" i="10"/>
  <c r="V40" i="10"/>
  <c r="R40" i="10"/>
  <c r="N40" i="10"/>
  <c r="J40" i="10"/>
  <c r="F40" i="10"/>
  <c r="T39" i="10"/>
  <c r="P39" i="10"/>
  <c r="L39" i="10"/>
  <c r="H39" i="10"/>
  <c r="V38" i="10"/>
  <c r="R38" i="10"/>
  <c r="N38" i="10"/>
  <c r="J38" i="10"/>
  <c r="F38" i="10"/>
  <c r="T37" i="10"/>
  <c r="P37" i="10"/>
  <c r="L37" i="10"/>
  <c r="H37" i="10"/>
  <c r="V36" i="10"/>
  <c r="R36" i="10"/>
  <c r="N36" i="10"/>
  <c r="J36" i="10"/>
  <c r="F36" i="10"/>
  <c r="T35" i="10"/>
  <c r="P35" i="10"/>
  <c r="L35" i="10"/>
  <c r="H35" i="10"/>
  <c r="V34" i="10"/>
  <c r="R34" i="10"/>
  <c r="N34" i="10"/>
  <c r="J34" i="10"/>
  <c r="F34" i="10"/>
  <c r="T33" i="10"/>
  <c r="P33" i="10"/>
  <c r="L33" i="10"/>
  <c r="H33" i="10"/>
  <c r="V32" i="10"/>
  <c r="R32" i="10"/>
  <c r="N32" i="10"/>
  <c r="J32" i="10"/>
  <c r="L25" i="3"/>
  <c r="L29" i="3" s="1"/>
  <c r="L31" i="3" s="1"/>
  <c r="C24" i="3"/>
  <c r="C28" i="3" s="1"/>
  <c r="N24" i="3"/>
  <c r="N28" i="3"/>
  <c r="N31" i="3" s="1"/>
  <c r="L24" i="3"/>
  <c r="L28" i="3" s="1"/>
  <c r="J24" i="3"/>
  <c r="J28" i="3" s="1"/>
  <c r="J31" i="3" s="1"/>
  <c r="H24" i="3"/>
  <c r="H28" i="3"/>
  <c r="H31" i="3" s="1"/>
  <c r="F24" i="3"/>
  <c r="F28" i="3"/>
  <c r="F31" i="3"/>
  <c r="C41" i="3"/>
  <c r="C45" i="3" s="1"/>
  <c r="E41" i="3"/>
  <c r="E45" i="3"/>
  <c r="E48" i="3" s="1"/>
  <c r="I48" i="3"/>
  <c r="B48" i="3"/>
  <c r="R31" i="9"/>
  <c r="R36" i="9"/>
  <c r="R24" i="9"/>
  <c r="R40" i="9"/>
  <c r="R29" i="9"/>
  <c r="R37" i="9"/>
  <c r="R26" i="9"/>
  <c r="R39" i="9"/>
  <c r="R30" i="9"/>
  <c r="R33" i="9"/>
  <c r="R32" i="9"/>
  <c r="R28" i="9"/>
  <c r="R25" i="9"/>
  <c r="R35" i="9"/>
  <c r="R27" i="9"/>
  <c r="R34" i="9"/>
  <c r="J31" i="12"/>
  <c r="J40" i="12"/>
  <c r="M41" i="3"/>
  <c r="M45" i="3" s="1"/>
  <c r="M25" i="3"/>
  <c r="AP8" i="16"/>
  <c r="Y27" i="16"/>
  <c r="W53" i="16"/>
  <c r="AE27" i="16"/>
  <c r="AC53" i="16" s="1"/>
  <c r="K13" i="4"/>
  <c r="G11" i="14"/>
  <c r="D40" i="5"/>
  <c r="B40" i="5"/>
  <c r="H13" i="4"/>
  <c r="L13" i="4"/>
  <c r="G41" i="3"/>
  <c r="G45" i="3"/>
  <c r="G48" i="3" s="1"/>
  <c r="G25" i="3"/>
  <c r="AE28" i="16"/>
  <c r="AC54" i="16"/>
  <c r="AQ8" i="16"/>
  <c r="AQ27" i="16"/>
  <c r="AO53" i="16"/>
  <c r="Y28" i="16"/>
  <c r="W54" i="16"/>
  <c r="H17" i="4"/>
  <c r="L17" i="4"/>
  <c r="M48" i="3"/>
  <c r="N13" i="4"/>
  <c r="P13" i="4" s="1"/>
  <c r="R38" i="9"/>
  <c r="J42" i="9" a="1"/>
  <c r="J42" i="9" s="1"/>
  <c r="N34" i="12"/>
  <c r="N24" i="12"/>
  <c r="N33" i="12"/>
  <c r="N28" i="12"/>
  <c r="N35" i="12"/>
  <c r="AP24" i="16"/>
  <c r="AN50" i="16" s="1"/>
  <c r="Y24" i="16"/>
  <c r="W50" i="16"/>
  <c r="AE24" i="16"/>
  <c r="AC50" i="16" s="1"/>
  <c r="AM8" i="16"/>
  <c r="AM25" i="16" s="1"/>
  <c r="AK51" i="16" s="1"/>
  <c r="AM23" i="16"/>
  <c r="AK49" i="16"/>
  <c r="L24" i="12"/>
  <c r="L28" i="12"/>
  <c r="L32" i="12"/>
  <c r="L36" i="12"/>
  <c r="L40" i="12"/>
  <c r="L29" i="12"/>
  <c r="L37" i="12"/>
  <c r="L27" i="12"/>
  <c r="L39" i="12"/>
  <c r="L26" i="12"/>
  <c r="L30" i="12"/>
  <c r="L34" i="12"/>
  <c r="L38" i="12"/>
  <c r="L25" i="12"/>
  <c r="L33" i="12"/>
  <c r="L23" i="12"/>
  <c r="L41" i="12" s="1" a="1"/>
  <c r="L41" i="12" s="1"/>
  <c r="L31" i="12"/>
  <c r="L35" i="12"/>
  <c r="N29" i="12"/>
  <c r="AL8" i="16"/>
  <c r="AL19" i="16" s="1"/>
  <c r="AJ45" i="16" s="1"/>
  <c r="AQ23" i="16"/>
  <c r="AO49" i="16"/>
  <c r="Y23" i="16"/>
  <c r="W49" i="16"/>
  <c r="AE23" i="16"/>
  <c r="AC49" i="16"/>
  <c r="N25" i="12"/>
  <c r="AP25" i="16"/>
  <c r="AN51" i="16" s="1"/>
  <c r="AL25" i="16"/>
  <c r="AJ51" i="16"/>
  <c r="AN8" i="16"/>
  <c r="AN25" i="16" s="1"/>
  <c r="AL51" i="16"/>
  <c r="Y25" i="16"/>
  <c r="W51" i="16"/>
  <c r="AE25" i="16"/>
  <c r="AC51" i="16"/>
  <c r="AQ25" i="16"/>
  <c r="AO51" i="16"/>
  <c r="AP19" i="16"/>
  <c r="AN45" i="16"/>
  <c r="AH8" i="16"/>
  <c r="AN19" i="16"/>
  <c r="AL45" i="16" s="1"/>
  <c r="AQ19" i="16"/>
  <c r="AO45" i="16"/>
  <c r="AH19" i="16"/>
  <c r="AF45" i="16" s="1"/>
  <c r="Y19" i="16"/>
  <c r="W45" i="16"/>
  <c r="AE19" i="16"/>
  <c r="AC45" i="16" s="1"/>
  <c r="AM19" i="16"/>
  <c r="AK45" i="16" s="1"/>
  <c r="AP15" i="16"/>
  <c r="AN41" i="16" s="1"/>
  <c r="AL15" i="16"/>
  <c r="AJ41" i="16"/>
  <c r="AD8" i="16"/>
  <c r="AN15" i="16"/>
  <c r="AL41" i="16"/>
  <c r="AQ15" i="16"/>
  <c r="AO41" i="16"/>
  <c r="Y15" i="16"/>
  <c r="W41" i="16"/>
  <c r="AE15" i="16"/>
  <c r="AC41" i="16"/>
  <c r="AM15" i="16"/>
  <c r="AK41" i="16"/>
  <c r="AP11" i="16"/>
  <c r="AN37" i="16"/>
  <c r="AL11" i="16"/>
  <c r="AJ37" i="16"/>
  <c r="Z8" i="16"/>
  <c r="AN11" i="16"/>
  <c r="AL37" i="16" s="1"/>
  <c r="AB8" i="16"/>
  <c r="AB11" i="16"/>
  <c r="Z37" i="16"/>
  <c r="AQ11" i="16"/>
  <c r="AO37" i="16"/>
  <c r="AH11" i="16"/>
  <c r="AF37" i="16"/>
  <c r="Y11" i="16"/>
  <c r="W37" i="16"/>
  <c r="AE11" i="16"/>
  <c r="AC37" i="16"/>
  <c r="AM11" i="16"/>
  <c r="AK37" i="16"/>
  <c r="AP21" i="16"/>
  <c r="AN47" i="16"/>
  <c r="AL21" i="16"/>
  <c r="AJ47" i="16"/>
  <c r="AJ8" i="16"/>
  <c r="AJ13" i="16" s="1"/>
  <c r="AH39" i="16" s="1"/>
  <c r="AJ15" i="16"/>
  <c r="AH41" i="16" s="1"/>
  <c r="AN21" i="16"/>
  <c r="AL47" i="16"/>
  <c r="Z21" i="16"/>
  <c r="X47" i="16" s="1"/>
  <c r="AQ21" i="16"/>
  <c r="AO47" i="16"/>
  <c r="Y21" i="16"/>
  <c r="W47" i="16" s="1"/>
  <c r="AE21" i="16"/>
  <c r="AC47" i="16"/>
  <c r="AM21" i="16"/>
  <c r="AK47" i="16"/>
  <c r="AL17" i="16"/>
  <c r="AJ43" i="16" s="1"/>
  <c r="AP13" i="16"/>
  <c r="AN39" i="16"/>
  <c r="AL13" i="16"/>
  <c r="AJ39" i="16"/>
  <c r="AB19" i="16"/>
  <c r="Z45" i="16"/>
  <c r="AN13" i="16"/>
  <c r="AL39" i="16"/>
  <c r="Z13" i="16"/>
  <c r="X39" i="16"/>
  <c r="AB13" i="16"/>
  <c r="Z39" i="16"/>
  <c r="AQ13" i="16"/>
  <c r="AO39" i="16"/>
  <c r="Y13" i="16"/>
  <c r="W39" i="16"/>
  <c r="AE13" i="16"/>
  <c r="AC39" i="16"/>
  <c r="AM13" i="16"/>
  <c r="AK39" i="16"/>
  <c r="AL29" i="16"/>
  <c r="AJ55" i="16" s="1"/>
  <c r="AP29" i="16"/>
  <c r="AN55" i="16" s="1"/>
  <c r="AJ29" i="16"/>
  <c r="AH55" i="16" s="1"/>
  <c r="AE29" i="16"/>
  <c r="AC55" i="16" s="1"/>
  <c r="AM29" i="16"/>
  <c r="AK55" i="16" s="1"/>
  <c r="AQ29" i="16"/>
  <c r="AO55" i="16" s="1"/>
  <c r="B36" i="3"/>
  <c r="K41" i="12" a="1"/>
  <c r="K41" i="12" s="1"/>
  <c r="G29" i="3"/>
  <c r="G31" i="3"/>
  <c r="AD17" i="16"/>
  <c r="AB43" i="16"/>
  <c r="AQ24" i="16"/>
  <c r="AO50" i="16"/>
  <c r="AQ28" i="16"/>
  <c r="AO54" i="16"/>
  <c r="P40" i="9"/>
  <c r="P38" i="9"/>
  <c r="P39" i="9"/>
  <c r="P29" i="9"/>
  <c r="P30" i="9"/>
  <c r="P25" i="9"/>
  <c r="P28" i="9"/>
  <c r="P34" i="9"/>
  <c r="P33" i="9"/>
  <c r="AQ22" i="16"/>
  <c r="AO48" i="16"/>
  <c r="AQ10" i="16"/>
  <c r="AO36" i="16"/>
  <c r="AQ16" i="16"/>
  <c r="AO42" i="16" s="1"/>
  <c r="AQ12" i="16"/>
  <c r="AO38" i="16"/>
  <c r="AP28" i="16"/>
  <c r="AN54" i="16" s="1"/>
  <c r="AP22" i="16"/>
  <c r="AN48" i="16" s="1"/>
  <c r="AP12" i="16"/>
  <c r="AN38" i="16" s="1"/>
  <c r="AP23" i="16"/>
  <c r="AN49" i="16"/>
  <c r="AP10" i="16"/>
  <c r="AN36" i="16" s="1"/>
  <c r="AP16" i="16"/>
  <c r="AN42" i="16" s="1"/>
  <c r="AP27" i="16"/>
  <c r="AN53" i="16" s="1"/>
  <c r="P36" i="9"/>
  <c r="AL28" i="16"/>
  <c r="AJ54" i="16"/>
  <c r="AL22" i="16"/>
  <c r="AJ48" i="16"/>
  <c r="AL16" i="16"/>
  <c r="AJ42" i="16" s="1"/>
  <c r="AL12" i="16"/>
  <c r="AJ38" i="16" s="1"/>
  <c r="AL23" i="16"/>
  <c r="AJ49" i="16"/>
  <c r="AL27" i="16"/>
  <c r="AJ53" i="16" s="1"/>
  <c r="AL10" i="16"/>
  <c r="AJ36" i="16"/>
  <c r="AM22" i="16"/>
  <c r="AK48" i="16" s="1"/>
  <c r="AM10" i="16"/>
  <c r="AK36" i="16"/>
  <c r="AM28" i="16"/>
  <c r="AK54" i="16"/>
  <c r="AM27" i="16"/>
  <c r="AK53" i="16" s="1"/>
  <c r="AM16" i="16"/>
  <c r="AK42" i="16" s="1"/>
  <c r="AM12" i="16"/>
  <c r="AK38" i="16"/>
  <c r="AJ21" i="16"/>
  <c r="AH47" i="16" s="1"/>
  <c r="R23" i="12"/>
  <c r="R27" i="12"/>
  <c r="AL24" i="16"/>
  <c r="AJ50" i="16" s="1"/>
  <c r="AM24" i="16"/>
  <c r="AK50" i="16" s="1"/>
  <c r="Z27" i="16"/>
  <c r="X53" i="16"/>
  <c r="Z23" i="16"/>
  <c r="X49" i="16"/>
  <c r="Z28" i="16"/>
  <c r="X54" i="16"/>
  <c r="Z24" i="16"/>
  <c r="X50" i="16"/>
  <c r="Z22" i="16"/>
  <c r="X48" i="16" s="1"/>
  <c r="Z16" i="16"/>
  <c r="X42" i="16"/>
  <c r="Z12" i="16"/>
  <c r="X38" i="16"/>
  <c r="Z10" i="16"/>
  <c r="X36" i="16" s="1"/>
  <c r="AH28" i="16"/>
  <c r="AF54" i="16" s="1"/>
  <c r="AH24" i="16"/>
  <c r="AF50" i="16" s="1"/>
  <c r="AH22" i="16"/>
  <c r="AF48" i="16" s="1"/>
  <c r="AH16" i="16"/>
  <c r="AF42" i="16" s="1"/>
  <c r="AH12" i="16"/>
  <c r="AF38" i="16" s="1"/>
  <c r="AH10" i="16"/>
  <c r="AF36" i="16" s="1"/>
  <c r="AH27" i="16"/>
  <c r="AF53" i="16" s="1"/>
  <c r="AH23" i="16"/>
  <c r="AF49" i="16" s="1"/>
  <c r="Q34" i="12"/>
  <c r="Q33" i="12"/>
  <c r="Q36" i="12"/>
  <c r="AB27" i="16"/>
  <c r="Z53" i="16" s="1"/>
  <c r="AB23" i="16"/>
  <c r="Z49" i="16" s="1"/>
  <c r="AB28" i="16"/>
  <c r="Z54" i="16" s="1"/>
  <c r="AB24" i="16"/>
  <c r="Z50" i="16" s="1"/>
  <c r="AB22" i="16"/>
  <c r="Z48" i="16" s="1"/>
  <c r="AB16" i="16"/>
  <c r="Z42" i="16" s="1"/>
  <c r="AB12" i="16"/>
  <c r="Z38" i="16" s="1"/>
  <c r="AB10" i="16"/>
  <c r="Z36" i="16" s="1"/>
  <c r="AJ28" i="16"/>
  <c r="AH54" i="16" s="1"/>
  <c r="AJ24" i="16"/>
  <c r="AH50" i="16" s="1"/>
  <c r="AJ22" i="16"/>
  <c r="AH48" i="16" s="1"/>
  <c r="AJ16" i="16"/>
  <c r="AH42" i="16" s="1"/>
  <c r="AJ12" i="16"/>
  <c r="AH38" i="16" s="1"/>
  <c r="AJ10" i="16"/>
  <c r="AH36" i="16" s="1"/>
  <c r="AJ27" i="16"/>
  <c r="AH53" i="16" s="1"/>
  <c r="AJ23" i="16"/>
  <c r="AH49" i="16" s="1"/>
  <c r="AD28" i="16"/>
  <c r="AB54" i="16" s="1"/>
  <c r="AD27" i="16"/>
  <c r="AB53" i="16" s="1"/>
  <c r="AD24" i="16"/>
  <c r="AB50" i="16" s="1"/>
  <c r="AD23" i="16"/>
  <c r="AB49" i="16" s="1"/>
  <c r="AD22" i="16"/>
  <c r="AB48" i="16" s="1"/>
  <c r="AD16" i="16"/>
  <c r="AB42" i="16" s="1"/>
  <c r="AD12" i="16"/>
  <c r="AB38" i="16" s="1"/>
  <c r="AD10" i="16"/>
  <c r="AB36" i="16" s="1"/>
  <c r="AN28" i="16"/>
  <c r="AL54" i="16" s="1"/>
  <c r="AN24" i="16"/>
  <c r="AL50" i="16" s="1"/>
  <c r="AN22" i="16"/>
  <c r="AL48" i="16" s="1"/>
  <c r="AN16" i="16"/>
  <c r="AL42" i="16" s="1"/>
  <c r="AN12" i="16"/>
  <c r="AL38" i="16" s="1"/>
  <c r="AN27" i="16"/>
  <c r="AL53" i="16" s="1"/>
  <c r="AN23" i="16"/>
  <c r="AL49" i="16" s="1"/>
  <c r="AN10" i="16"/>
  <c r="AL36" i="16" s="1"/>
  <c r="Z15" i="16"/>
  <c r="X41" i="16" s="1"/>
  <c r="AH25" i="16"/>
  <c r="AF51" i="16" s="1"/>
  <c r="Z25" i="16"/>
  <c r="X51" i="16" s="1"/>
  <c r="AH29" i="16"/>
  <c r="AF55" i="16" s="1"/>
  <c r="Z29" i="16"/>
  <c r="X55" i="16" s="1"/>
  <c r="AH13" i="16"/>
  <c r="AF39" i="16" s="1"/>
  <c r="Z17" i="16"/>
  <c r="X43" i="16" s="1"/>
  <c r="AH21" i="16"/>
  <c r="AF47" i="16" s="1"/>
  <c r="AB21" i="16"/>
  <c r="Z47" i="16" s="1"/>
  <c r="AJ11" i="16"/>
  <c r="AH37" i="16" s="1"/>
  <c r="Z11" i="16"/>
  <c r="X37" i="16" s="1"/>
  <c r="AH15" i="16"/>
  <c r="AF41" i="16" s="1"/>
  <c r="AB15" i="16"/>
  <c r="Z41" i="16" s="1"/>
  <c r="AJ19" i="16"/>
  <c r="AH45" i="16" s="1"/>
  <c r="Z19" i="16"/>
  <c r="X45" i="16" s="1"/>
  <c r="AD19" i="16"/>
  <c r="AB45" i="16" s="1"/>
  <c r="AJ25" i="16"/>
  <c r="AH51" i="16" s="1"/>
  <c r="AB25" i="16"/>
  <c r="Z51" i="16" s="1"/>
  <c r="AD25" i="16"/>
  <c r="AB51" i="16" s="1"/>
  <c r="R36" i="12"/>
  <c r="R34" i="12"/>
  <c r="R28" i="12"/>
  <c r="R29" i="12"/>
  <c r="R26" i="12"/>
  <c r="R25" i="12"/>
  <c r="R35" i="12"/>
  <c r="R24" i="12"/>
  <c r="R40" i="12"/>
  <c r="R39" i="12"/>
  <c r="R38" i="12"/>
  <c r="R31" i="12"/>
  <c r="R32" i="12"/>
  <c r="R37" i="12"/>
  <c r="R30" i="12"/>
  <c r="R33" i="12"/>
  <c r="H43" i="15" l="1"/>
  <c r="O29" i="15" s="1"/>
  <c r="K32" i="15"/>
  <c r="K39" i="15"/>
  <c r="K31" i="15"/>
  <c r="K23" i="15"/>
  <c r="K36" i="15"/>
  <c r="K37" i="15"/>
  <c r="K29" i="15"/>
  <c r="K24" i="15"/>
  <c r="K40" i="15"/>
  <c r="K35" i="15"/>
  <c r="K27" i="15"/>
  <c r="O34" i="15"/>
  <c r="J27" i="15"/>
  <c r="B49" i="9"/>
  <c r="G42" i="9"/>
  <c r="N25" i="9" s="1"/>
  <c r="Q35" i="12"/>
  <c r="Q23" i="12"/>
  <c r="Q31" i="12"/>
  <c r="Q25" i="12"/>
  <c r="Q32" i="12"/>
  <c r="Q38" i="12"/>
  <c r="Q27" i="12"/>
  <c r="Q28" i="12"/>
  <c r="Q37" i="12"/>
  <c r="Q29" i="12"/>
  <c r="Q39" i="12"/>
  <c r="Q26" i="12"/>
  <c r="Q30" i="12"/>
  <c r="Q40" i="12"/>
  <c r="Q24" i="12"/>
  <c r="AD11" i="16"/>
  <c r="AB37" i="16" s="1"/>
  <c r="AD15" i="16"/>
  <c r="AB41" i="16" s="1"/>
  <c r="AD21" i="16"/>
  <c r="AB47" i="16" s="1"/>
  <c r="AD13" i="16"/>
  <c r="AB39" i="16" s="1"/>
  <c r="P32" i="9"/>
  <c r="P37" i="9"/>
  <c r="P27" i="9"/>
  <c r="P24" i="9"/>
  <c r="P31" i="9"/>
  <c r="P26" i="9"/>
  <c r="P41" i="9"/>
  <c r="P35" i="9"/>
  <c r="J34" i="12"/>
  <c r="J39" i="12"/>
  <c r="J28" i="12"/>
  <c r="J27" i="12"/>
  <c r="J38" i="12"/>
  <c r="J33" i="12"/>
  <c r="J32" i="12"/>
  <c r="J35" i="12"/>
  <c r="J26" i="12"/>
  <c r="J29" i="12"/>
  <c r="J25" i="12"/>
  <c r="J30" i="12"/>
  <c r="J24" i="12"/>
  <c r="J37" i="12"/>
  <c r="J23" i="12"/>
  <c r="J36" i="12"/>
  <c r="O30" i="9"/>
  <c r="O39" i="9"/>
  <c r="O25" i="9"/>
  <c r="O36" i="9"/>
  <c r="O26" i="9"/>
  <c r="O31" i="9"/>
  <c r="O35" i="9"/>
  <c r="O38" i="9"/>
  <c r="O41" i="9"/>
  <c r="O37" i="9"/>
  <c r="O27" i="9"/>
  <c r="O33" i="9"/>
  <c r="O34" i="9"/>
  <c r="O28" i="9"/>
  <c r="O29" i="9"/>
  <c r="AN17" i="16"/>
  <c r="AL43" i="16" s="1"/>
  <c r="AH17" i="16"/>
  <c r="AF43" i="16" s="1"/>
  <c r="AA17" i="16"/>
  <c r="Y43" i="16" s="1"/>
  <c r="AE17" i="16"/>
  <c r="AC43" i="16" s="1"/>
  <c r="AM17" i="16"/>
  <c r="AK43" i="16" s="1"/>
  <c r="AB17" i="16"/>
  <c r="Z43" i="16" s="1"/>
  <c r="AJ17" i="16"/>
  <c r="AH43" i="16" s="1"/>
  <c r="AP17" i="16"/>
  <c r="AN43" i="16" s="1"/>
  <c r="AF8" i="16"/>
  <c r="AQ17" i="16"/>
  <c r="AO43" i="16" s="1"/>
  <c r="Y17" i="16"/>
  <c r="W43" i="16" s="1"/>
  <c r="AK17" i="16"/>
  <c r="AI43" i="16" s="1"/>
  <c r="AR8" i="16"/>
  <c r="AD29" i="16"/>
  <c r="AB55" i="16" s="1"/>
  <c r="AN29" i="16"/>
  <c r="AL55" i="16" s="1"/>
  <c r="AB29" i="16"/>
  <c r="Z55" i="16" s="1"/>
  <c r="Y29" i="16"/>
  <c r="W55" i="16" s="1"/>
  <c r="M29" i="3"/>
  <c r="M31" i="3" s="1"/>
  <c r="B37" i="3"/>
  <c r="N40" i="12"/>
  <c r="N30" i="12"/>
  <c r="N38" i="12"/>
  <c r="N27" i="12"/>
  <c r="B13" i="14"/>
  <c r="A14" i="14"/>
  <c r="O40" i="9"/>
  <c r="O32" i="9"/>
  <c r="O24" i="9"/>
  <c r="N11" i="4"/>
  <c r="P11" i="4" s="1"/>
  <c r="G15" i="4"/>
  <c r="F47" i="9"/>
  <c r="F49" i="9" s="1"/>
  <c r="E47" i="9"/>
  <c r="E49" i="9" s="1"/>
  <c r="D47" i="9"/>
  <c r="D49" i="9" s="1"/>
  <c r="H54" i="3"/>
  <c r="H55" i="3"/>
  <c r="E17" i="18"/>
  <c r="E21" i="18"/>
  <c r="G4" i="18"/>
  <c r="E8" i="18"/>
  <c r="E12" i="18"/>
  <c r="E20" i="18"/>
  <c r="E24" i="18"/>
  <c r="E28" i="18"/>
  <c r="E15" i="18"/>
  <c r="E19" i="18"/>
  <c r="E23" i="18"/>
  <c r="E10" i="18"/>
  <c r="D13" i="18"/>
  <c r="E18" i="18"/>
  <c r="E26" i="18"/>
  <c r="E14" i="18"/>
  <c r="D17" i="18"/>
  <c r="L16" i="4"/>
  <c r="I16" i="4"/>
  <c r="H16" i="4"/>
  <c r="D48" i="3"/>
  <c r="G17" i="4"/>
  <c r="I17" i="4"/>
  <c r="A18" i="4"/>
  <c r="K17" i="4"/>
  <c r="H15" i="4"/>
  <c r="L15" i="4"/>
  <c r="K15" i="4"/>
  <c r="M15" i="4" s="1"/>
  <c r="O15" i="4" s="1"/>
  <c r="O40" i="15"/>
  <c r="O37" i="15"/>
  <c r="D28" i="18"/>
  <c r="D12" i="18"/>
  <c r="G16" i="4"/>
  <c r="M16" i="4" s="1"/>
  <c r="O16" i="4" s="1"/>
  <c r="O36" i="15"/>
  <c r="O28" i="15"/>
  <c r="O33" i="15"/>
  <c r="I37" i="12"/>
  <c r="G37" i="12" a="1"/>
  <c r="G37" i="12" s="1"/>
  <c r="N37" i="12" s="1"/>
  <c r="O26" i="15"/>
  <c r="O32" i="15"/>
  <c r="O35" i="15"/>
  <c r="F22" i="5"/>
  <c r="E22" i="5"/>
  <c r="F6" i="4"/>
  <c r="O42" i="15"/>
  <c r="O30" i="15"/>
  <c r="O25" i="15"/>
  <c r="I34" i="12"/>
  <c r="C47" i="9"/>
  <c r="C49" i="9" s="1"/>
  <c r="N29" i="9"/>
  <c r="N34" i="9"/>
  <c r="AA8" i="16"/>
  <c r="AA22" i="16" s="1"/>
  <c r="Y48" i="16" s="1"/>
  <c r="Y12" i="16"/>
  <c r="W38" i="16" s="1"/>
  <c r="AK12" i="16"/>
  <c r="AI38" i="16" s="1"/>
  <c r="AK8" i="16"/>
  <c r="AE22" i="16"/>
  <c r="AC48" i="16" s="1"/>
  <c r="W26" i="16"/>
  <c r="U26" i="16"/>
  <c r="V26" i="16"/>
  <c r="O45" i="3"/>
  <c r="O48" i="3" s="1"/>
  <c r="D20" i="18"/>
  <c r="K30" i="15"/>
  <c r="K34" i="15"/>
  <c r="B42" i="12"/>
  <c r="F44" i="12" a="1"/>
  <c r="F44" i="12" s="1"/>
  <c r="F42" i="12"/>
  <c r="N39" i="9"/>
  <c r="W14" i="16"/>
  <c r="U14" i="16"/>
  <c r="C42" i="3"/>
  <c r="C46" i="3" s="1"/>
  <c r="C48" i="3" s="1"/>
  <c r="P48" i="3" s="1"/>
  <c r="C25" i="3"/>
  <c r="C29" i="3" s="1"/>
  <c r="C31" i="3" s="1"/>
  <c r="D27" i="18"/>
  <c r="D19" i="18"/>
  <c r="D11" i="18"/>
  <c r="L22" i="5"/>
  <c r="M35" i="15"/>
  <c r="M27" i="15"/>
  <c r="J41" i="15"/>
  <c r="J33" i="15"/>
  <c r="J25" i="15"/>
  <c r="K42" i="15"/>
  <c r="L37" i="15"/>
  <c r="G23" i="12" a="1"/>
  <c r="G23" i="12" s="1"/>
  <c r="N23" i="12" s="1"/>
  <c r="G31" i="12" a="1"/>
  <c r="G31" i="12" s="1"/>
  <c r="N31" i="12" s="1"/>
  <c r="K25" i="9"/>
  <c r="K33" i="9"/>
  <c r="K41" i="9"/>
  <c r="K31" i="9"/>
  <c r="K39" i="9"/>
  <c r="X17" i="16"/>
  <c r="D46" i="15" s="1" a="1"/>
  <c r="D46" i="15" s="1"/>
  <c r="W17" i="16"/>
  <c r="W20" i="16"/>
  <c r="U20" i="16"/>
  <c r="D24" i="18"/>
  <c r="D16" i="18"/>
  <c r="D8" i="18"/>
  <c r="M41" i="15"/>
  <c r="M33" i="15"/>
  <c r="J39" i="15"/>
  <c r="J31" i="15"/>
  <c r="O23" i="15"/>
  <c r="K38" i="15"/>
  <c r="L23" i="15"/>
  <c r="L31" i="15"/>
  <c r="L39" i="15"/>
  <c r="L25" i="15"/>
  <c r="L33" i="15"/>
  <c r="L41" i="15"/>
  <c r="B45" i="12" a="1"/>
  <c r="B45" i="12" s="1"/>
  <c r="G32" i="12" a="1"/>
  <c r="G32" i="12" s="1"/>
  <c r="N32" i="12" s="1"/>
  <c r="G36" i="12" a="1"/>
  <c r="G36" i="12" s="1"/>
  <c r="N36" i="12" s="1"/>
  <c r="G39" i="12" a="1"/>
  <c r="G39" i="12" s="1"/>
  <c r="N39" i="12" s="1"/>
  <c r="M27" i="9"/>
  <c r="M35" i="9"/>
  <c r="M25" i="9"/>
  <c r="M33" i="9"/>
  <c r="M41" i="9"/>
  <c r="N28" i="9"/>
  <c r="N26" i="9"/>
  <c r="D10" i="14"/>
  <c r="F10" i="14"/>
  <c r="D23" i="18"/>
  <c r="D15" i="18"/>
  <c r="D14" i="18"/>
  <c r="D18" i="18"/>
  <c r="D22" i="18"/>
  <c r="D26" i="18"/>
  <c r="U18" i="16"/>
  <c r="W21" i="16"/>
  <c r="W27" i="16"/>
  <c r="N15" i="17"/>
  <c r="J15" i="17"/>
  <c r="L14" i="17"/>
  <c r="N13" i="17"/>
  <c r="J13" i="17"/>
  <c r="L12" i="17"/>
  <c r="N11" i="17"/>
  <c r="J11" i="17"/>
  <c r="J18" i="17" s="1" a="1"/>
  <c r="D10" i="18"/>
  <c r="L15" i="17"/>
  <c r="N14" i="17"/>
  <c r="J14" i="17"/>
  <c r="L13" i="17"/>
  <c r="N12" i="17"/>
  <c r="J12" i="17"/>
  <c r="O41" i="15" l="1"/>
  <c r="O31" i="15"/>
  <c r="O27" i="15"/>
  <c r="O24" i="15"/>
  <c r="O39" i="15"/>
  <c r="O38" i="15"/>
  <c r="N37" i="9"/>
  <c r="N27" i="9"/>
  <c r="N36" i="9"/>
  <c r="N33" i="9"/>
  <c r="N32" i="9"/>
  <c r="N35" i="9"/>
  <c r="N41" i="9"/>
  <c r="N38" i="9"/>
  <c r="N31" i="9"/>
  <c r="N40" i="9"/>
  <c r="N24" i="9"/>
  <c r="N30" i="9"/>
  <c r="P31" i="3"/>
  <c r="K18" i="17"/>
  <c r="M18" i="17"/>
  <c r="J19" i="17"/>
  <c r="M21" i="17"/>
  <c r="J22" i="17"/>
  <c r="N22" i="17"/>
  <c r="K19" i="17"/>
  <c r="M19" i="17"/>
  <c r="J20" i="17"/>
  <c r="M20" i="17"/>
  <c r="J21" i="17"/>
  <c r="K22" i="17"/>
  <c r="J18" i="17"/>
  <c r="L18" i="17"/>
  <c r="N18" i="17"/>
  <c r="K20" i="17"/>
  <c r="K21" i="17"/>
  <c r="N21" i="17"/>
  <c r="L22" i="17"/>
  <c r="N19" i="17"/>
  <c r="L19" i="17"/>
  <c r="N20" i="17"/>
  <c r="M22" i="17"/>
  <c r="L21" i="17"/>
  <c r="L20" i="17"/>
  <c r="T32" i="12"/>
  <c r="M32" i="12"/>
  <c r="M24" i="12"/>
  <c r="M39" i="12"/>
  <c r="M37" i="12"/>
  <c r="M27" i="12"/>
  <c r="M40" i="12"/>
  <c r="M30" i="12"/>
  <c r="M25" i="12"/>
  <c r="M35" i="12"/>
  <c r="M23" i="12"/>
  <c r="M34" i="12"/>
  <c r="M38" i="12"/>
  <c r="M31" i="12"/>
  <c r="M36" i="12"/>
  <c r="M33" i="12"/>
  <c r="M28" i="12"/>
  <c r="M29" i="12"/>
  <c r="M26" i="12"/>
  <c r="G18" i="4"/>
  <c r="B18" i="4"/>
  <c r="A19" i="4"/>
  <c r="I18" i="4"/>
  <c r="K18" i="4"/>
  <c r="E57" i="3"/>
  <c r="E61" i="3" s="1"/>
  <c r="N57" i="3"/>
  <c r="N61" i="3" s="1"/>
  <c r="J57" i="3"/>
  <c r="J61" i="3" s="1"/>
  <c r="D57" i="3"/>
  <c r="D61" i="3" s="1"/>
  <c r="D64" i="3" s="1"/>
  <c r="C57" i="3"/>
  <c r="C61" i="3" s="1"/>
  <c r="K57" i="3"/>
  <c r="K61" i="3" s="1"/>
  <c r="G57" i="3"/>
  <c r="G61" i="3" s="1"/>
  <c r="B57" i="3"/>
  <c r="B61" i="3" s="1"/>
  <c r="B64" i="3" s="1"/>
  <c r="L57" i="3"/>
  <c r="L61" i="3" s="1"/>
  <c r="H57" i="3"/>
  <c r="H61" i="3" s="1"/>
  <c r="M57" i="3"/>
  <c r="M61" i="3" s="1"/>
  <c r="I57" i="3"/>
  <c r="I61" i="3" s="1"/>
  <c r="I64" i="3" s="1"/>
  <c r="F57" i="3"/>
  <c r="F61" i="3" s="1"/>
  <c r="P25" i="12"/>
  <c r="S27" i="9"/>
  <c r="F47" i="12"/>
  <c r="C47" i="12"/>
  <c r="E47" i="12"/>
  <c r="E48" i="12" s="1"/>
  <c r="D47" i="12"/>
  <c r="D48" i="12" s="1"/>
  <c r="B47" i="12"/>
  <c r="O43" i="15" a="1"/>
  <c r="AI8" i="16"/>
  <c r="Y20" i="16"/>
  <c r="W46" i="16" s="1"/>
  <c r="AK20" i="16"/>
  <c r="AI46" i="16" s="1"/>
  <c r="AE20" i="16"/>
  <c r="AC46" i="16" s="1"/>
  <c r="AO20" i="16"/>
  <c r="AM46" i="16" s="1"/>
  <c r="AA20" i="16"/>
  <c r="Y46" i="16" s="1"/>
  <c r="AI20" i="16"/>
  <c r="AG46" i="16" s="1"/>
  <c r="AP20" i="16"/>
  <c r="AN46" i="16" s="1"/>
  <c r="AM20" i="16"/>
  <c r="AK46" i="16" s="1"/>
  <c r="Z20" i="16"/>
  <c r="X46" i="16" s="1"/>
  <c r="AH20" i="16"/>
  <c r="AF46" i="16" s="1"/>
  <c r="AD20" i="16"/>
  <c r="AB46" i="16" s="1"/>
  <c r="AN20" i="16"/>
  <c r="AL46" i="16" s="1"/>
  <c r="AL20" i="16"/>
  <c r="AJ46" i="16" s="1"/>
  <c r="AR20" i="16"/>
  <c r="AP46" i="16" s="1"/>
  <c r="AF20" i="16"/>
  <c r="AD46" i="16" s="1"/>
  <c r="AQ20" i="16"/>
  <c r="AO46" i="16" s="1"/>
  <c r="AB20" i="16"/>
  <c r="Z46" i="16" s="1"/>
  <c r="AJ20" i="16"/>
  <c r="AH46" i="16" s="1"/>
  <c r="Q39" i="9"/>
  <c r="Q25" i="9"/>
  <c r="K42" i="9" a="1"/>
  <c r="K42" i="9" s="1"/>
  <c r="AC8" i="16"/>
  <c r="AA14" i="16"/>
  <c r="Y40" i="16" s="1"/>
  <c r="AE14" i="16"/>
  <c r="AC40" i="16" s="1"/>
  <c r="AI14" i="16"/>
  <c r="AG40" i="16" s="1"/>
  <c r="AO14" i="16"/>
  <c r="AM40" i="16" s="1"/>
  <c r="AK14" i="16"/>
  <c r="AI40" i="16" s="1"/>
  <c r="Y14" i="16"/>
  <c r="W40" i="16" s="1"/>
  <c r="AG14" i="16"/>
  <c r="AE40" i="16" s="1"/>
  <c r="AQ14" i="16"/>
  <c r="AO40" i="16" s="1"/>
  <c r="AL14" i="16"/>
  <c r="AJ40" i="16" s="1"/>
  <c r="AR14" i="16"/>
  <c r="AP40" i="16" s="1"/>
  <c r="AF14" i="16"/>
  <c r="AD40" i="16" s="1"/>
  <c r="AP14" i="16"/>
  <c r="AN40" i="16" s="1"/>
  <c r="AB14" i="16"/>
  <c r="Z40" i="16" s="1"/>
  <c r="AJ14" i="16"/>
  <c r="AH40" i="16" s="1"/>
  <c r="AM14" i="16"/>
  <c r="AK40" i="16" s="1"/>
  <c r="Z14" i="16"/>
  <c r="X40" i="16" s="1"/>
  <c r="AD14" i="16"/>
  <c r="AB40" i="16" s="1"/>
  <c r="AN14" i="16"/>
  <c r="AL40" i="16" s="1"/>
  <c r="AH14" i="16"/>
  <c r="AF40" i="16" s="1"/>
  <c r="B46" i="12"/>
  <c r="D46" i="12"/>
  <c r="C46" i="12"/>
  <c r="F46" i="12"/>
  <c r="E46" i="12"/>
  <c r="N15" i="4"/>
  <c r="P15" i="4" s="1"/>
  <c r="D9" i="18"/>
  <c r="E22" i="18"/>
  <c r="D25" i="18"/>
  <c r="E13" i="18"/>
  <c r="B14" i="14"/>
  <c r="D14" i="14"/>
  <c r="A15" i="14"/>
  <c r="AF27" i="16"/>
  <c r="AD53" i="16" s="1"/>
  <c r="AF24" i="16"/>
  <c r="AD50" i="16" s="1"/>
  <c r="AF22" i="16"/>
  <c r="AD48" i="16" s="1"/>
  <c r="AF10" i="16"/>
  <c r="AD36" i="16" s="1"/>
  <c r="AF13" i="16"/>
  <c r="AD39" i="16" s="1"/>
  <c r="AF28" i="16"/>
  <c r="AD54" i="16" s="1"/>
  <c r="AF23" i="16"/>
  <c r="AD49" i="16" s="1"/>
  <c r="AF16" i="16"/>
  <c r="AD42" i="16" s="1"/>
  <c r="AF19" i="16"/>
  <c r="AD45" i="16" s="1"/>
  <c r="AF25" i="16"/>
  <c r="AD51" i="16" s="1"/>
  <c r="AF12" i="16"/>
  <c r="AD38" i="16" s="1"/>
  <c r="AF11" i="16"/>
  <c r="AD37" i="16" s="1"/>
  <c r="AF29" i="16"/>
  <c r="AD55" i="16" s="1"/>
  <c r="AF15" i="16"/>
  <c r="AD41" i="16" s="1"/>
  <c r="AF21" i="16"/>
  <c r="AD47" i="16" s="1"/>
  <c r="AF17" i="16"/>
  <c r="AD43" i="16" s="1"/>
  <c r="P29" i="12"/>
  <c r="E46" i="15" a="1"/>
  <c r="E46" i="15" s="1"/>
  <c r="C46" i="15" a="1"/>
  <c r="C46" i="15" s="1"/>
  <c r="P30" i="15"/>
  <c r="Q33" i="9"/>
  <c r="E40" i="5"/>
  <c r="B41" i="5" a="1"/>
  <c r="F46" i="15" a="1"/>
  <c r="F46" i="15" s="1"/>
  <c r="F13" i="14"/>
  <c r="C13" i="14"/>
  <c r="E13" i="14" s="1"/>
  <c r="G13" i="14" s="1"/>
  <c r="AA18" i="16"/>
  <c r="Y44" i="16" s="1"/>
  <c r="AE18" i="16"/>
  <c r="AC44" i="16" s="1"/>
  <c r="AI18" i="16"/>
  <c r="AG44" i="16" s="1"/>
  <c r="AG8" i="16"/>
  <c r="AG18" i="16"/>
  <c r="AE44" i="16" s="1"/>
  <c r="Y18" i="16"/>
  <c r="W44" i="16" s="1"/>
  <c r="AK18" i="16"/>
  <c r="AI44" i="16" s="1"/>
  <c r="AL18" i="16"/>
  <c r="AJ44" i="16" s="1"/>
  <c r="AM18" i="16"/>
  <c r="AK44" i="16" s="1"/>
  <c r="AR18" i="16"/>
  <c r="AP44" i="16" s="1"/>
  <c r="AF18" i="16"/>
  <c r="AD44" i="16" s="1"/>
  <c r="AP18" i="16"/>
  <c r="AN44" i="16" s="1"/>
  <c r="AB18" i="16"/>
  <c r="Z44" i="16" s="1"/>
  <c r="AJ18" i="16"/>
  <c r="AH44" i="16" s="1"/>
  <c r="AN18" i="16"/>
  <c r="AL44" i="16" s="1"/>
  <c r="AQ18" i="16"/>
  <c r="AO44" i="16" s="1"/>
  <c r="AH18" i="16"/>
  <c r="AF44" i="16" s="1"/>
  <c r="Z18" i="16"/>
  <c r="X44" i="16" s="1"/>
  <c r="AD18" i="16"/>
  <c r="AB44" i="16" s="1"/>
  <c r="T39" i="12"/>
  <c r="P31" i="15"/>
  <c r="Q31" i="9"/>
  <c r="J43" i="15" a="1"/>
  <c r="J43" i="15" s="1"/>
  <c r="P33" i="15" s="1"/>
  <c r="P25" i="15"/>
  <c r="S35" i="15"/>
  <c r="D47" i="15" a="1"/>
  <c r="D47" i="15" s="1"/>
  <c r="C47" i="15" a="1"/>
  <c r="C47" i="15" s="1"/>
  <c r="E47" i="15" a="1"/>
  <c r="E47" i="15" s="1"/>
  <c r="G47" i="15" a="1"/>
  <c r="G47" i="15" s="1"/>
  <c r="F47" i="15" a="1"/>
  <c r="F47" i="15" s="1"/>
  <c r="I32" i="12"/>
  <c r="I29" i="12"/>
  <c r="I33" i="12"/>
  <c r="I26" i="12"/>
  <c r="I35" i="12"/>
  <c r="I24" i="12"/>
  <c r="I30" i="12"/>
  <c r="I27" i="12"/>
  <c r="I25" i="12"/>
  <c r="I39" i="12"/>
  <c r="I36" i="12"/>
  <c r="I31" i="12"/>
  <c r="I38" i="12"/>
  <c r="I23" i="12"/>
  <c r="I28" i="12"/>
  <c r="AK16" i="16"/>
  <c r="AI42" i="16" s="1"/>
  <c r="AK10" i="16"/>
  <c r="AI36" i="16" s="1"/>
  <c r="AK22" i="16"/>
  <c r="AI48" i="16" s="1"/>
  <c r="AK28" i="16"/>
  <c r="AI54" i="16" s="1"/>
  <c r="AK27" i="16"/>
  <c r="AI53" i="16" s="1"/>
  <c r="AK23" i="16"/>
  <c r="AI49" i="16" s="1"/>
  <c r="AK15" i="16"/>
  <c r="AI41" i="16" s="1"/>
  <c r="AK11" i="16"/>
  <c r="AI37" i="16" s="1"/>
  <c r="AK19" i="16"/>
  <c r="AI45" i="16" s="1"/>
  <c r="AK24" i="16"/>
  <c r="AI50" i="16" s="1"/>
  <c r="AK25" i="16"/>
  <c r="AI51" i="16" s="1"/>
  <c r="AK13" i="16"/>
  <c r="AI39" i="16" s="1"/>
  <c r="AK21" i="16"/>
  <c r="AI47" i="16" s="1"/>
  <c r="I40" i="12"/>
  <c r="T37" i="12"/>
  <c r="M43" i="15" a="1"/>
  <c r="M43" i="15" s="1"/>
  <c r="G46" i="15" a="1"/>
  <c r="G46" i="15" s="1"/>
  <c r="G48" i="15" s="1"/>
  <c r="N16" i="4"/>
  <c r="P16" i="4" s="1"/>
  <c r="D21" i="18"/>
  <c r="E27" i="18"/>
  <c r="E11" i="18"/>
  <c r="E16" i="18"/>
  <c r="E25" i="18"/>
  <c r="E9" i="18"/>
  <c r="F40" i="5"/>
  <c r="D13" i="14"/>
  <c r="AR27" i="16"/>
  <c r="AP53" i="16" s="1"/>
  <c r="AR24" i="16"/>
  <c r="AP50" i="16" s="1"/>
  <c r="AR22" i="16"/>
  <c r="AP48" i="16" s="1"/>
  <c r="AR10" i="16"/>
  <c r="AP36" i="16" s="1"/>
  <c r="AR28" i="16"/>
  <c r="AP54" i="16" s="1"/>
  <c r="AR23" i="16"/>
  <c r="AP49" i="16" s="1"/>
  <c r="AR16" i="16"/>
  <c r="AP42" i="16" s="1"/>
  <c r="AR13" i="16"/>
  <c r="AP39" i="16" s="1"/>
  <c r="AR21" i="16"/>
  <c r="AP47" i="16" s="1"/>
  <c r="AR11" i="16"/>
  <c r="AP37" i="16" s="1"/>
  <c r="AR29" i="16"/>
  <c r="AP55" i="16" s="1"/>
  <c r="AR17" i="16"/>
  <c r="AP43" i="16" s="1"/>
  <c r="AR15" i="16"/>
  <c r="AP41" i="16" s="1"/>
  <c r="AR12" i="16"/>
  <c r="AP38" i="16" s="1"/>
  <c r="AR25" i="16"/>
  <c r="AP51" i="16" s="1"/>
  <c r="AR19" i="16"/>
  <c r="AP45" i="16" s="1"/>
  <c r="P24" i="12"/>
  <c r="P26" i="12"/>
  <c r="AO8" i="16"/>
  <c r="AG26" i="16"/>
  <c r="AE52" i="16" s="1"/>
  <c r="Y26" i="16"/>
  <c r="W52" i="16" s="1"/>
  <c r="AE26" i="16"/>
  <c r="AC52" i="16" s="1"/>
  <c r="AK26" i="16"/>
  <c r="AI52" i="16" s="1"/>
  <c r="AI26" i="16"/>
  <c r="AG52" i="16" s="1"/>
  <c r="AA26" i="16"/>
  <c r="Y52" i="16" s="1"/>
  <c r="AQ26" i="16"/>
  <c r="AO52" i="16" s="1"/>
  <c r="AP26" i="16"/>
  <c r="AN52" i="16" s="1"/>
  <c r="AM26" i="16"/>
  <c r="AK52" i="16" s="1"/>
  <c r="AB26" i="16"/>
  <c r="Z52" i="16" s="1"/>
  <c r="AJ26" i="16"/>
  <c r="AH52" i="16" s="1"/>
  <c r="AD26" i="16"/>
  <c r="AB52" i="16" s="1"/>
  <c r="AR26" i="16"/>
  <c r="AP52" i="16" s="1"/>
  <c r="AF26" i="16"/>
  <c r="AD52" i="16" s="1"/>
  <c r="AL26" i="16"/>
  <c r="AJ52" i="16" s="1"/>
  <c r="AN26" i="16"/>
  <c r="AL52" i="16" s="1"/>
  <c r="Z26" i="16"/>
  <c r="X52" i="16" s="1"/>
  <c r="AH26" i="16"/>
  <c r="AF52" i="16" s="1"/>
  <c r="J41" i="12" a="1"/>
  <c r="J41" i="12" s="1"/>
  <c r="P37" i="12" s="1"/>
  <c r="P23" i="12"/>
  <c r="N42" i="9" a="1"/>
  <c r="M42" i="9" a="1"/>
  <c r="M42" i="9" s="1"/>
  <c r="S41" i="9" s="1"/>
  <c r="S25" i="9"/>
  <c r="T36" i="12"/>
  <c r="L43" i="15" a="1"/>
  <c r="L43" i="15" s="1"/>
  <c r="R23" i="15"/>
  <c r="P39" i="15"/>
  <c r="Q41" i="9"/>
  <c r="N41" i="12" a="1"/>
  <c r="N41" i="12" s="1"/>
  <c r="L40" i="5"/>
  <c r="I41" i="5" a="1"/>
  <c r="B39" i="15"/>
  <c r="I39" i="15" s="1"/>
  <c r="V52" i="16"/>
  <c r="AS26" i="16"/>
  <c r="AO9" i="16"/>
  <c r="AM35" i="16" s="1"/>
  <c r="AA10" i="16"/>
  <c r="Y36" i="16" s="1"/>
  <c r="AA16" i="16"/>
  <c r="Y42" i="16" s="1"/>
  <c r="AA12" i="16"/>
  <c r="Y38" i="16" s="1"/>
  <c r="AA24" i="16"/>
  <c r="Y50" i="16" s="1"/>
  <c r="AA27" i="16"/>
  <c r="Y53" i="16" s="1"/>
  <c r="AA28" i="16"/>
  <c r="Y54" i="16" s="1"/>
  <c r="AA25" i="16"/>
  <c r="Y51" i="16" s="1"/>
  <c r="AA13" i="16"/>
  <c r="Y39" i="16" s="1"/>
  <c r="AA21" i="16"/>
  <c r="Y47" i="16" s="1"/>
  <c r="AA23" i="16"/>
  <c r="Y49" i="16" s="1"/>
  <c r="AA15" i="16"/>
  <c r="Y41" i="16" s="1"/>
  <c r="AA11" i="16"/>
  <c r="Y37" i="16" s="1"/>
  <c r="AA29" i="16"/>
  <c r="Y55" i="16" s="1"/>
  <c r="AA19" i="16"/>
  <c r="Y45" i="16" s="1"/>
  <c r="M11" i="4"/>
  <c r="O11" i="4" s="1"/>
  <c r="M12" i="4"/>
  <c r="O12" i="4" s="1"/>
  <c r="M13" i="4"/>
  <c r="O13" i="4" s="1"/>
  <c r="M14" i="4"/>
  <c r="O14" i="4" s="1"/>
  <c r="M31" i="4"/>
  <c r="O31" i="4" s="1"/>
  <c r="M17" i="4"/>
  <c r="O17" i="4" s="1"/>
  <c r="N17" i="4"/>
  <c r="P17" i="4" s="1"/>
  <c r="N43" i="15" a="1"/>
  <c r="N43" i="15" s="1"/>
  <c r="K43" i="15" a="1"/>
  <c r="K43" i="15" s="1"/>
  <c r="D58" i="3"/>
  <c r="D62" i="3" s="1"/>
  <c r="O58" i="3"/>
  <c r="O62" i="3" s="1"/>
  <c r="O64" i="3" s="1"/>
  <c r="K58" i="3"/>
  <c r="K62" i="3" s="1"/>
  <c r="G58" i="3"/>
  <c r="G62" i="3" s="1"/>
  <c r="C58" i="3"/>
  <c r="C62" i="3" s="1"/>
  <c r="N58" i="3"/>
  <c r="N62" i="3" s="1"/>
  <c r="J58" i="3"/>
  <c r="J62" i="3" s="1"/>
  <c r="F58" i="3"/>
  <c r="F62" i="3" s="1"/>
  <c r="M58" i="3"/>
  <c r="M62" i="3" s="1"/>
  <c r="L58" i="3"/>
  <c r="L62" i="3" s="1"/>
  <c r="E58" i="3"/>
  <c r="E62" i="3" s="1"/>
  <c r="H58" i="3"/>
  <c r="H62" i="3" s="1"/>
  <c r="I58" i="3"/>
  <c r="I62" i="3" s="1"/>
  <c r="AK29" i="16"/>
  <c r="AI55" i="16" s="1"/>
  <c r="P36" i="12"/>
  <c r="P35" i="12"/>
  <c r="P27" i="12"/>
  <c r="O43" i="15" l="1"/>
  <c r="U25" i="15" s="1"/>
  <c r="G49" i="15"/>
  <c r="G50" i="15" s="1"/>
  <c r="D48" i="15"/>
  <c r="N42" i="9"/>
  <c r="T39" i="9" s="1"/>
  <c r="Q24" i="15"/>
  <c r="Q29" i="15"/>
  <c r="Q25" i="15"/>
  <c r="Q31" i="15"/>
  <c r="Q40" i="15"/>
  <c r="Q39" i="15"/>
  <c r="Q41" i="15"/>
  <c r="Q37" i="15"/>
  <c r="Q33" i="15"/>
  <c r="Q35" i="15"/>
  <c r="Q23" i="15"/>
  <c r="Q36" i="15"/>
  <c r="Q27" i="15"/>
  <c r="Q32" i="15"/>
  <c r="Q28" i="15"/>
  <c r="Q26" i="15"/>
  <c r="F48" i="15"/>
  <c r="AC16" i="16"/>
  <c r="AA42" i="16" s="1"/>
  <c r="AC10" i="16"/>
  <c r="AA36" i="16" s="1"/>
  <c r="AC22" i="16"/>
  <c r="AA48" i="16" s="1"/>
  <c r="AC28" i="16"/>
  <c r="AA54" i="16" s="1"/>
  <c r="AC27" i="16"/>
  <c r="AA53" i="16" s="1"/>
  <c r="AC23" i="16"/>
  <c r="AA49" i="16" s="1"/>
  <c r="AC24" i="16"/>
  <c r="AA50" i="16" s="1"/>
  <c r="AC15" i="16"/>
  <c r="AA41" i="16" s="1"/>
  <c r="AC11" i="16"/>
  <c r="AA37" i="16" s="1"/>
  <c r="AC19" i="16"/>
  <c r="AA45" i="16" s="1"/>
  <c r="AC25" i="16"/>
  <c r="AA51" i="16" s="1"/>
  <c r="AC13" i="16"/>
  <c r="AA39" i="16" s="1"/>
  <c r="AC21" i="16"/>
  <c r="AA47" i="16" s="1"/>
  <c r="AC17" i="16"/>
  <c r="AA43" i="16" s="1"/>
  <c r="AC29" i="16"/>
  <c r="AA55" i="16" s="1"/>
  <c r="AC12" i="16"/>
  <c r="AA38" i="16" s="1"/>
  <c r="S38" i="12"/>
  <c r="T42" i="15"/>
  <c r="T35" i="15"/>
  <c r="T24" i="15"/>
  <c r="T26" i="15"/>
  <c r="T40" i="15"/>
  <c r="T31" i="15"/>
  <c r="T32" i="15"/>
  <c r="T34" i="15"/>
  <c r="T28" i="15"/>
  <c r="T27" i="15"/>
  <c r="T37" i="15"/>
  <c r="T39" i="15"/>
  <c r="T23" i="15"/>
  <c r="T33" i="15"/>
  <c r="T36" i="15"/>
  <c r="T29" i="15"/>
  <c r="T38" i="15"/>
  <c r="T25" i="15"/>
  <c r="T41" i="15"/>
  <c r="K41" i="5"/>
  <c r="L41" i="5"/>
  <c r="M41" i="5"/>
  <c r="I41" i="5"/>
  <c r="J41" i="5"/>
  <c r="T33" i="12"/>
  <c r="T34" i="12"/>
  <c r="T29" i="12"/>
  <c r="T25" i="12"/>
  <c r="T28" i="12"/>
  <c r="T35" i="12"/>
  <c r="T26" i="12"/>
  <c r="T24" i="12"/>
  <c r="AO10" i="16"/>
  <c r="AM36" i="16" s="1"/>
  <c r="AO12" i="16"/>
  <c r="AM38" i="16" s="1"/>
  <c r="AO16" i="16"/>
  <c r="AM42" i="16" s="1"/>
  <c r="AO28" i="16"/>
  <c r="AM54" i="16" s="1"/>
  <c r="AO24" i="16"/>
  <c r="AM50" i="16" s="1"/>
  <c r="AO15" i="16"/>
  <c r="AM41" i="16" s="1"/>
  <c r="AO11" i="16"/>
  <c r="AM37" i="16" s="1"/>
  <c r="AO19" i="16"/>
  <c r="AM45" i="16" s="1"/>
  <c r="AO27" i="16"/>
  <c r="AM53" i="16" s="1"/>
  <c r="AO25" i="16"/>
  <c r="AM51" i="16" s="1"/>
  <c r="AO13" i="16"/>
  <c r="AM39" i="16" s="1"/>
  <c r="AO21" i="16"/>
  <c r="AM47" i="16" s="1"/>
  <c r="AO23" i="16"/>
  <c r="AM49" i="16" s="1"/>
  <c r="AO17" i="16"/>
  <c r="AM43" i="16" s="1"/>
  <c r="AO29" i="16"/>
  <c r="AM55" i="16" s="1"/>
  <c r="AO22" i="16"/>
  <c r="AM48" i="16" s="1"/>
  <c r="T27" i="12"/>
  <c r="S42" i="15"/>
  <c r="S40" i="15"/>
  <c r="S37" i="15"/>
  <c r="S28" i="15"/>
  <c r="S31" i="15"/>
  <c r="S38" i="15"/>
  <c r="S36" i="15"/>
  <c r="S25" i="15"/>
  <c r="S24" i="15"/>
  <c r="S34" i="15"/>
  <c r="S23" i="15"/>
  <c r="S32" i="15"/>
  <c r="S29" i="15"/>
  <c r="S39" i="15"/>
  <c r="S26" i="15"/>
  <c r="I41" i="12" a="1"/>
  <c r="I41" i="12" s="1"/>
  <c r="E49" i="15"/>
  <c r="S33" i="9"/>
  <c r="T30" i="15"/>
  <c r="S33" i="15"/>
  <c r="S27" i="15"/>
  <c r="U24" i="15"/>
  <c r="U34" i="15"/>
  <c r="U27" i="15"/>
  <c r="U39" i="15"/>
  <c r="U41" i="15"/>
  <c r="U31" i="15"/>
  <c r="U38" i="15"/>
  <c r="U29" i="15"/>
  <c r="M64" i="3"/>
  <c r="G64" i="3"/>
  <c r="J64" i="3"/>
  <c r="Q30" i="15"/>
  <c r="S33" i="12"/>
  <c r="J25" i="17" a="1"/>
  <c r="J24" i="17" a="1"/>
  <c r="T24" i="9"/>
  <c r="T35" i="9"/>
  <c r="T37" i="9"/>
  <c r="T36" i="9"/>
  <c r="T34" i="9"/>
  <c r="T38" i="12"/>
  <c r="T23" i="12"/>
  <c r="R32" i="15"/>
  <c r="R34" i="15"/>
  <c r="R24" i="15"/>
  <c r="R26" i="15"/>
  <c r="R42" i="15"/>
  <c r="R35" i="15"/>
  <c r="R29" i="15"/>
  <c r="R40" i="15"/>
  <c r="R38" i="15"/>
  <c r="R27" i="15"/>
  <c r="R28" i="15"/>
  <c r="R36" i="15"/>
  <c r="S39" i="9"/>
  <c r="S24" i="9"/>
  <c r="S26" i="9"/>
  <c r="S37" i="9"/>
  <c r="S29" i="9"/>
  <c r="S31" i="9"/>
  <c r="S40" i="9"/>
  <c r="S38" i="9"/>
  <c r="S32" i="9"/>
  <c r="S30" i="9"/>
  <c r="S34" i="9"/>
  <c r="S36" i="9"/>
  <c r="S28" i="9"/>
  <c r="P40" i="12"/>
  <c r="P31" i="12"/>
  <c r="AO26" i="16"/>
  <c r="AM52" i="16" s="1"/>
  <c r="Q38" i="15"/>
  <c r="P34" i="12"/>
  <c r="O25" i="12"/>
  <c r="C49" i="15"/>
  <c r="P42" i="15"/>
  <c r="P35" i="15"/>
  <c r="P40" i="15"/>
  <c r="P29" i="15"/>
  <c r="P27" i="15"/>
  <c r="P36" i="15"/>
  <c r="P23" i="15"/>
  <c r="P32" i="15"/>
  <c r="P38" i="15"/>
  <c r="P28" i="15"/>
  <c r="P24" i="15"/>
  <c r="P37" i="15"/>
  <c r="P34" i="15"/>
  <c r="P26" i="15"/>
  <c r="R31" i="15"/>
  <c r="AC18" i="16"/>
  <c r="AA44" i="16" s="1"/>
  <c r="AG16" i="16"/>
  <c r="AE42" i="16" s="1"/>
  <c r="AG10" i="16"/>
  <c r="AE36" i="16" s="1"/>
  <c r="AG22" i="16"/>
  <c r="AE48" i="16" s="1"/>
  <c r="AG27" i="16"/>
  <c r="AE53" i="16" s="1"/>
  <c r="AG23" i="16"/>
  <c r="AE49" i="16" s="1"/>
  <c r="AG28" i="16"/>
  <c r="AE54" i="16" s="1"/>
  <c r="AG15" i="16"/>
  <c r="AE41" i="16" s="1"/>
  <c r="AG11" i="16"/>
  <c r="AE37" i="16" s="1"/>
  <c r="AG19" i="16"/>
  <c r="AE45" i="16" s="1"/>
  <c r="AG25" i="16"/>
  <c r="AE51" i="16" s="1"/>
  <c r="AG13" i="16"/>
  <c r="AE39" i="16" s="1"/>
  <c r="AG24" i="16"/>
  <c r="AE50" i="16" s="1"/>
  <c r="AG21" i="16"/>
  <c r="AE47" i="16" s="1"/>
  <c r="AG29" i="16"/>
  <c r="AE55" i="16" s="1"/>
  <c r="AG12" i="16"/>
  <c r="AE38" i="16" s="1"/>
  <c r="AG17" i="16"/>
  <c r="AE43" i="16" s="1"/>
  <c r="P41" i="15"/>
  <c r="R30" i="15"/>
  <c r="R25" i="15"/>
  <c r="P39" i="12"/>
  <c r="T40" i="12"/>
  <c r="U28" i="15"/>
  <c r="T29" i="9"/>
  <c r="Q42" i="15"/>
  <c r="AI10" i="16"/>
  <c r="AG36" i="16" s="1"/>
  <c r="AI16" i="16"/>
  <c r="AG42" i="16" s="1"/>
  <c r="AI12" i="16"/>
  <c r="AG38" i="16" s="1"/>
  <c r="AI27" i="16"/>
  <c r="AG53" i="16" s="1"/>
  <c r="AI23" i="16"/>
  <c r="AG49" i="16" s="1"/>
  <c r="AI25" i="16"/>
  <c r="AG51" i="16" s="1"/>
  <c r="AI13" i="16"/>
  <c r="AG39" i="16" s="1"/>
  <c r="AI28" i="16"/>
  <c r="AG54" i="16" s="1"/>
  <c r="AI24" i="16"/>
  <c r="AG50" i="16" s="1"/>
  <c r="AI21" i="16"/>
  <c r="AG47" i="16" s="1"/>
  <c r="AI15" i="16"/>
  <c r="AG41" i="16" s="1"/>
  <c r="AI11" i="16"/>
  <c r="AG37" i="16" s="1"/>
  <c r="AI19" i="16"/>
  <c r="AG45" i="16" s="1"/>
  <c r="AI29" i="16"/>
  <c r="AG55" i="16" s="1"/>
  <c r="AI22" i="16"/>
  <c r="AG48" i="16" s="1"/>
  <c r="AI17" i="16"/>
  <c r="AG43" i="16" s="1"/>
  <c r="R39" i="15"/>
  <c r="C48" i="12"/>
  <c r="P28" i="12"/>
  <c r="H64" i="3"/>
  <c r="K64" i="3"/>
  <c r="N64" i="3"/>
  <c r="B19" i="4"/>
  <c r="G19" i="4"/>
  <c r="I19" i="4"/>
  <c r="K19" i="4"/>
  <c r="A20" i="4"/>
  <c r="S26" i="12"/>
  <c r="S36" i="12"/>
  <c r="M41" i="12" a="1"/>
  <c r="M41" i="12" s="1"/>
  <c r="S34" i="12" s="1"/>
  <c r="S40" i="12"/>
  <c r="S24" i="12"/>
  <c r="E48" i="15"/>
  <c r="AC20" i="16"/>
  <c r="AA46" i="16" s="1"/>
  <c r="S28" i="12"/>
  <c r="S25" i="12"/>
  <c r="S37" i="12"/>
  <c r="P30" i="12"/>
  <c r="Q34" i="15"/>
  <c r="R33" i="15"/>
  <c r="T26" i="9"/>
  <c r="U32" i="15"/>
  <c r="AC26" i="16"/>
  <c r="AA52" i="16" s="1"/>
  <c r="T28" i="9"/>
  <c r="P38" i="12"/>
  <c r="U36" i="15"/>
  <c r="F49" i="15"/>
  <c r="F50" i="15" s="1"/>
  <c r="D49" i="15"/>
  <c r="T31" i="12"/>
  <c r="R41" i="15"/>
  <c r="AO18" i="16"/>
  <c r="AM44" i="16" s="1"/>
  <c r="T30" i="12"/>
  <c r="F41" i="5"/>
  <c r="D41" i="5"/>
  <c r="E41" i="5"/>
  <c r="B41" i="5"/>
  <c r="C41" i="5"/>
  <c r="R37" i="15"/>
  <c r="S30" i="15"/>
  <c r="C48" i="15"/>
  <c r="S35" i="9"/>
  <c r="P33" i="12"/>
  <c r="B15" i="14"/>
  <c r="A16" i="14"/>
  <c r="F14" i="14"/>
  <c r="C14" i="14"/>
  <c r="E14" i="14" s="1"/>
  <c r="U26" i="15"/>
  <c r="AC14" i="16"/>
  <c r="AA40" i="16" s="1"/>
  <c r="Q38" i="9"/>
  <c r="Q29" i="9"/>
  <c r="Q32" i="9"/>
  <c r="Q37" i="9"/>
  <c r="Q35" i="9"/>
  <c r="Q24" i="9"/>
  <c r="Q40" i="9"/>
  <c r="Q36" i="9"/>
  <c r="Q30" i="9"/>
  <c r="Q27" i="9"/>
  <c r="Q28" i="9"/>
  <c r="Q34" i="9"/>
  <c r="Q26" i="9"/>
  <c r="AG20" i="16"/>
  <c r="AE46" i="16" s="1"/>
  <c r="S41" i="15"/>
  <c r="B48" i="12"/>
  <c r="F48" i="12"/>
  <c r="P32" i="12"/>
  <c r="F64" i="3"/>
  <c r="L64" i="3"/>
  <c r="C64" i="3"/>
  <c r="P64" i="3" s="1"/>
  <c r="E64" i="3"/>
  <c r="H18" i="4"/>
  <c r="L18" i="4"/>
  <c r="N18" i="4" s="1"/>
  <c r="P18" i="4" s="1"/>
  <c r="J18" i="4"/>
  <c r="S29" i="12"/>
  <c r="S31" i="12"/>
  <c r="S35" i="12"/>
  <c r="S27" i="12"/>
  <c r="S32" i="12"/>
  <c r="U37" i="15" l="1"/>
  <c r="U23" i="15"/>
  <c r="U30" i="15"/>
  <c r="U42" i="15"/>
  <c r="U33" i="15"/>
  <c r="U40" i="15"/>
  <c r="U35" i="15"/>
  <c r="D50" i="15"/>
  <c r="T32" i="9"/>
  <c r="T27" i="9"/>
  <c r="T38" i="9"/>
  <c r="T40" i="9"/>
  <c r="T33" i="9"/>
  <c r="T31" i="9"/>
  <c r="T30" i="9"/>
  <c r="T25" i="9"/>
  <c r="T41" i="9"/>
  <c r="B16" i="14"/>
  <c r="D16" i="14"/>
  <c r="A17" i="14"/>
  <c r="C15" i="14"/>
  <c r="E15" i="14" s="1"/>
  <c r="F15" i="14"/>
  <c r="E42" i="5"/>
  <c r="O34" i="12"/>
  <c r="O37" i="12"/>
  <c r="D42" i="5"/>
  <c r="O26" i="12"/>
  <c r="C50" i="15"/>
  <c r="O38" i="12"/>
  <c r="O33" i="12"/>
  <c r="S39" i="12"/>
  <c r="O24" i="12"/>
  <c r="O40" i="12"/>
  <c r="L42" i="5"/>
  <c r="M42" i="5"/>
  <c r="G14" i="14"/>
  <c r="C42" i="5"/>
  <c r="F42" i="5"/>
  <c r="O27" i="12"/>
  <c r="M18" i="4"/>
  <c r="O18" i="4" s="1"/>
  <c r="S23" i="12"/>
  <c r="B20" i="4"/>
  <c r="A21" i="4"/>
  <c r="J19" i="4"/>
  <c r="M19" i="4" s="1"/>
  <c r="O19" i="4" s="1"/>
  <c r="H19" i="4"/>
  <c r="L19" i="4"/>
  <c r="V23" i="15" a="1"/>
  <c r="O32" i="12"/>
  <c r="O30" i="12"/>
  <c r="S30" i="12"/>
  <c r="O39" i="12"/>
  <c r="J42" i="5"/>
  <c r="K42" i="5"/>
  <c r="J25" i="17"/>
  <c r="J26" i="17" s="1"/>
  <c r="N25" i="17"/>
  <c r="N26" i="17" s="1"/>
  <c r="N27" i="17" s="1"/>
  <c r="K25" i="17"/>
  <c r="K26" i="17" s="1"/>
  <c r="K27" i="17" s="1"/>
  <c r="L25" i="17"/>
  <c r="L26" i="17" s="1"/>
  <c r="L27" i="17" s="1"/>
  <c r="M25" i="17"/>
  <c r="M26" i="17" s="1"/>
  <c r="M27" i="17" s="1"/>
  <c r="O29" i="12"/>
  <c r="D15" i="14"/>
  <c r="B42" i="5"/>
  <c r="B43" i="5" s="1" a="1"/>
  <c r="O31" i="12"/>
  <c r="O36" i="12"/>
  <c r="O35" i="12"/>
  <c r="O28" i="12"/>
  <c r="N24" i="17"/>
  <c r="L24" i="17"/>
  <c r="L28" i="17" s="1"/>
  <c r="J24" i="17"/>
  <c r="M24" i="17"/>
  <c r="M28" i="17" s="1"/>
  <c r="K24" i="17"/>
  <c r="K28" i="17" s="1"/>
  <c r="E50" i="15"/>
  <c r="O23" i="12"/>
  <c r="I42" i="5"/>
  <c r="I43" i="5" s="1" a="1"/>
  <c r="U24" i="9" l="1" a="1"/>
  <c r="Z31" i="9" s="1"/>
  <c r="J20" i="4"/>
  <c r="L20" i="4"/>
  <c r="H20" i="4"/>
  <c r="J28" i="17"/>
  <c r="J27" i="17"/>
  <c r="J37" i="17" s="1" a="1"/>
  <c r="J36" i="17" a="1"/>
  <c r="G21" i="4"/>
  <c r="B21" i="4"/>
  <c r="I21" i="4" s="1"/>
  <c r="A22" i="4"/>
  <c r="G20" i="4"/>
  <c r="G15" i="14"/>
  <c r="N19" i="4"/>
  <c r="P19" i="4" s="1"/>
  <c r="K20" i="4"/>
  <c r="B17" i="14"/>
  <c r="A18" i="14"/>
  <c r="F16" i="14"/>
  <c r="C16" i="14"/>
  <c r="E16" i="14" s="1"/>
  <c r="X42" i="15"/>
  <c r="AA24" i="15"/>
  <c r="Y40" i="15"/>
  <c r="Y29" i="15"/>
  <c r="Y37" i="15"/>
  <c r="Z24" i="15"/>
  <c r="V30" i="15"/>
  <c r="X35" i="15"/>
  <c r="Z40" i="15"/>
  <c r="W32" i="15"/>
  <c r="W25" i="15"/>
  <c r="AA32" i="15"/>
  <c r="W41" i="15"/>
  <c r="V27" i="15"/>
  <c r="X32" i="15"/>
  <c r="Z37" i="15"/>
  <c r="W29" i="15"/>
  <c r="Y23" i="15"/>
  <c r="Y31" i="15"/>
  <c r="AA39" i="15"/>
  <c r="V26" i="15"/>
  <c r="X31" i="15"/>
  <c r="Z36" i="15"/>
  <c r="V42" i="15"/>
  <c r="AA35" i="15"/>
  <c r="AA26" i="15"/>
  <c r="W35" i="15"/>
  <c r="V23" i="15"/>
  <c r="X28" i="15"/>
  <c r="Z33" i="15"/>
  <c r="V39" i="15"/>
  <c r="W27" i="15"/>
  <c r="AA38" i="15"/>
  <c r="Y30" i="15"/>
  <c r="Y36" i="15"/>
  <c r="X25" i="15"/>
  <c r="X29" i="15"/>
  <c r="V36" i="15"/>
  <c r="V40" i="15"/>
  <c r="W34" i="15"/>
  <c r="W24" i="15"/>
  <c r="AA33" i="15"/>
  <c r="W40" i="15"/>
  <c r="Z27" i="15"/>
  <c r="Z31" i="15"/>
  <c r="X38" i="15"/>
  <c r="W33" i="15"/>
  <c r="Y25" i="15"/>
  <c r="Y33" i="15"/>
  <c r="W42" i="15"/>
  <c r="X27" i="15"/>
  <c r="Z32" i="15"/>
  <c r="V38" i="15"/>
  <c r="AA23" i="15"/>
  <c r="Y39" i="15"/>
  <c r="AA28" i="15"/>
  <c r="AA36" i="15"/>
  <c r="X24" i="15"/>
  <c r="Z29" i="15"/>
  <c r="V35" i="15"/>
  <c r="X40" i="15"/>
  <c r="W31" i="15"/>
  <c r="Y26" i="15"/>
  <c r="Y32" i="15"/>
  <c r="AA42" i="15"/>
  <c r="Z26" i="15"/>
  <c r="X33" i="15"/>
  <c r="X37" i="15"/>
  <c r="AA25" i="15"/>
  <c r="AA37" i="15"/>
  <c r="AA29" i="15"/>
  <c r="W36" i="15"/>
  <c r="V25" i="15"/>
  <c r="V29" i="15"/>
  <c r="Z35" i="15"/>
  <c r="Z39" i="15"/>
  <c r="Y27" i="15"/>
  <c r="V34" i="15"/>
  <c r="AA30" i="15"/>
  <c r="X36" i="15"/>
  <c r="AA41" i="15"/>
  <c r="V24" i="15"/>
  <c r="Z30" i="15"/>
  <c r="W30" i="15"/>
  <c r="W26" i="15"/>
  <c r="X26" i="15"/>
  <c r="V33" i="15"/>
  <c r="Y35" i="15"/>
  <c r="X39" i="15"/>
  <c r="W39" i="15"/>
  <c r="Z41" i="15"/>
  <c r="Y24" i="15"/>
  <c r="Y34" i="15"/>
  <c r="V32" i="15"/>
  <c r="Z38" i="15"/>
  <c r="AA27" i="15"/>
  <c r="W38" i="15"/>
  <c r="X34" i="15"/>
  <c r="V41" i="15"/>
  <c r="Z28" i="15"/>
  <c r="V31" i="15"/>
  <c r="X23" i="15"/>
  <c r="W28" i="15"/>
  <c r="Z25" i="15"/>
  <c r="Y28" i="15"/>
  <c r="Y38" i="15"/>
  <c r="Z34" i="15"/>
  <c r="X41" i="15"/>
  <c r="AA31" i="15"/>
  <c r="Y42" i="15"/>
  <c r="V37" i="15"/>
  <c r="W37" i="15"/>
  <c r="W23" i="15"/>
  <c r="AA34" i="15"/>
  <c r="AA40" i="15"/>
  <c r="V28" i="15"/>
  <c r="Z42" i="15"/>
  <c r="Y41" i="15"/>
  <c r="Z23" i="15"/>
  <c r="X30" i="15"/>
  <c r="J43" i="5"/>
  <c r="J44" i="5" s="1"/>
  <c r="J16" i="5" s="1"/>
  <c r="J17" i="5" s="1"/>
  <c r="I43" i="5"/>
  <c r="I44" i="5" s="1"/>
  <c r="I16" i="5" s="1"/>
  <c r="I17" i="5" s="1"/>
  <c r="K43" i="5"/>
  <c r="K44" i="5" s="1"/>
  <c r="K16" i="5" s="1"/>
  <c r="K17" i="5" s="1"/>
  <c r="M43" i="5"/>
  <c r="M44" i="5" s="1"/>
  <c r="M16" i="5" s="1"/>
  <c r="M17" i="5" s="1"/>
  <c r="L43" i="5"/>
  <c r="L44" i="5" s="1"/>
  <c r="L16" i="5" s="1"/>
  <c r="L17" i="5" s="1"/>
  <c r="U23" i="12" a="1"/>
  <c r="N28" i="17"/>
  <c r="B43" i="5"/>
  <c r="B44" i="5" s="1"/>
  <c r="B16" i="5" s="1"/>
  <c r="C43" i="5"/>
  <c r="C44" i="5" s="1"/>
  <c r="C16" i="5" s="1"/>
  <c r="D43" i="5"/>
  <c r="D44" i="5" s="1"/>
  <c r="D16" i="5" s="1"/>
  <c r="E43" i="5"/>
  <c r="E44" i="5" s="1"/>
  <c r="E16" i="5" s="1"/>
  <c r="E17" i="5" s="1"/>
  <c r="F43" i="5"/>
  <c r="F44" i="5" s="1"/>
  <c r="F16" i="5" s="1"/>
  <c r="F17" i="5" s="1"/>
  <c r="I20" i="4"/>
  <c r="W33" i="9" l="1"/>
  <c r="V36" i="9"/>
  <c r="Y29" i="9"/>
  <c r="U24" i="9"/>
  <c r="U41" i="9"/>
  <c r="AA41" i="9" s="1"/>
  <c r="U38" i="9"/>
  <c r="X30" i="9"/>
  <c r="U37" i="9"/>
  <c r="X28" i="9"/>
  <c r="AD28" i="9" s="1"/>
  <c r="V34" i="9"/>
  <c r="V41" i="9"/>
  <c r="U34" i="9"/>
  <c r="Y27" i="9"/>
  <c r="AE27" i="9" s="1"/>
  <c r="Y41" i="9"/>
  <c r="V32" i="9"/>
  <c r="V39" i="9"/>
  <c r="U30" i="9"/>
  <c r="AA30" i="9" s="1"/>
  <c r="W41" i="9"/>
  <c r="Y37" i="9"/>
  <c r="X27" i="9"/>
  <c r="X34" i="9"/>
  <c r="AD34" i="9" s="1"/>
  <c r="U26" i="9"/>
  <c r="W37" i="9"/>
  <c r="Y33" i="9"/>
  <c r="X25" i="9"/>
  <c r="AD25" i="9" s="1"/>
  <c r="X32" i="9"/>
  <c r="V38" i="9"/>
  <c r="Y38" i="9"/>
  <c r="V24" i="9"/>
  <c r="AB24" i="9" s="1"/>
  <c r="Z34" i="9"/>
  <c r="W31" i="9"/>
  <c r="U35" i="9"/>
  <c r="V31" i="9"/>
  <c r="AB31" i="9" s="1"/>
  <c r="Z41" i="9"/>
  <c r="U25" i="9"/>
  <c r="V26" i="9"/>
  <c r="Z36" i="9"/>
  <c r="AF36" i="9" s="1"/>
  <c r="W35" i="9"/>
  <c r="U39" i="9"/>
  <c r="V33" i="9"/>
  <c r="W25" i="9"/>
  <c r="AC25" i="9" s="1"/>
  <c r="U29" i="9"/>
  <c r="V28" i="9"/>
  <c r="Z38" i="9"/>
  <c r="W39" i="9"/>
  <c r="AC39" i="9" s="1"/>
  <c r="X24" i="9"/>
  <c r="V35" i="9"/>
  <c r="W29" i="9"/>
  <c r="U33" i="9"/>
  <c r="AA33" i="9" s="1"/>
  <c r="V30" i="9"/>
  <c r="Z40" i="9"/>
  <c r="Y25" i="9"/>
  <c r="X26" i="9"/>
  <c r="AD26" i="9" s="1"/>
  <c r="V37" i="9"/>
  <c r="W26" i="9"/>
  <c r="Z26" i="9"/>
  <c r="X37" i="9"/>
  <c r="AD37" i="9" s="1"/>
  <c r="Y36" i="9"/>
  <c r="W40" i="9"/>
  <c r="Z33" i="9"/>
  <c r="Y26" i="9"/>
  <c r="AE26" i="9" s="1"/>
  <c r="W30" i="9"/>
  <c r="Z28" i="9"/>
  <c r="X39" i="9"/>
  <c r="Y40" i="9"/>
  <c r="AE40" i="9" s="1"/>
  <c r="V25" i="9"/>
  <c r="Z35" i="9"/>
  <c r="Y30" i="9"/>
  <c r="W34" i="9"/>
  <c r="AC34" i="9" s="1"/>
  <c r="Z30" i="9"/>
  <c r="X41" i="9"/>
  <c r="U27" i="9"/>
  <c r="V27" i="9"/>
  <c r="AB27" i="9" s="1"/>
  <c r="Z37" i="9"/>
  <c r="Y34" i="9"/>
  <c r="W38" i="9"/>
  <c r="Z32" i="9"/>
  <c r="AF32" i="9" s="1"/>
  <c r="W27" i="9"/>
  <c r="U31" i="9"/>
  <c r="V29" i="9"/>
  <c r="Z39" i="9"/>
  <c r="AF39" i="9" s="1"/>
  <c r="U28" i="9"/>
  <c r="Y31" i="9"/>
  <c r="X29" i="9"/>
  <c r="V40" i="9"/>
  <c r="AB40" i="9" s="1"/>
  <c r="W24" i="9"/>
  <c r="Z25" i="9"/>
  <c r="X36" i="9"/>
  <c r="U32" i="9"/>
  <c r="Y35" i="9"/>
  <c r="X31" i="9"/>
  <c r="Y24" i="9"/>
  <c r="W28" i="9"/>
  <c r="AC28" i="9" s="1"/>
  <c r="Z27" i="9"/>
  <c r="X38" i="9"/>
  <c r="U36" i="9"/>
  <c r="Y39" i="9"/>
  <c r="AE39" i="9" s="1"/>
  <c r="X33" i="9"/>
  <c r="Y28" i="9"/>
  <c r="W32" i="9"/>
  <c r="Z29" i="9"/>
  <c r="AF29" i="9" s="1"/>
  <c r="X40" i="9"/>
  <c r="U40" i="9"/>
  <c r="Z24" i="9"/>
  <c r="X35" i="9"/>
  <c r="AD35" i="9" s="1"/>
  <c r="Y32" i="9"/>
  <c r="W36" i="9"/>
  <c r="J37" i="17"/>
  <c r="N37" i="17"/>
  <c r="M37" i="17"/>
  <c r="L37" i="17"/>
  <c r="K37" i="17"/>
  <c r="W38" i="12"/>
  <c r="Y35" i="12"/>
  <c r="U33" i="12"/>
  <c r="W30" i="12"/>
  <c r="Y27" i="12"/>
  <c r="U25" i="12"/>
  <c r="Z39" i="12"/>
  <c r="X34" i="12"/>
  <c r="Z29" i="12"/>
  <c r="X24" i="12"/>
  <c r="X37" i="12"/>
  <c r="Z30" i="12"/>
  <c r="V24" i="12"/>
  <c r="U40" i="12"/>
  <c r="W37" i="12"/>
  <c r="Y34" i="12"/>
  <c r="U32" i="12"/>
  <c r="W29" i="12"/>
  <c r="Y26" i="12"/>
  <c r="U24" i="12"/>
  <c r="Z37" i="12"/>
  <c r="X32" i="12"/>
  <c r="X26" i="12"/>
  <c r="X39" i="12"/>
  <c r="X33" i="12"/>
  <c r="V28" i="12"/>
  <c r="V32" i="12"/>
  <c r="U39" i="12"/>
  <c r="W36" i="12"/>
  <c r="Y33" i="12"/>
  <c r="U31" i="12"/>
  <c r="W28" i="12"/>
  <c r="Y25" i="12"/>
  <c r="U23" i="12"/>
  <c r="Z35" i="12"/>
  <c r="V31" i="12"/>
  <c r="Z25" i="12"/>
  <c r="W23" i="12"/>
  <c r="Y24" i="12"/>
  <c r="X25" i="12"/>
  <c r="Z26" i="12"/>
  <c r="Z27" i="12"/>
  <c r="Z28" i="12"/>
  <c r="U30" i="12"/>
  <c r="W31" i="12"/>
  <c r="Y32" i="12"/>
  <c r="Z33" i="12"/>
  <c r="Z34" i="12"/>
  <c r="X35" i="12"/>
  <c r="Y36" i="12"/>
  <c r="U38" i="12"/>
  <c r="Z38" i="12"/>
  <c r="W39" i="12"/>
  <c r="Z40" i="12"/>
  <c r="Y39" i="12"/>
  <c r="W34" i="12"/>
  <c r="U29" i="12"/>
  <c r="Y23" i="12"/>
  <c r="Z31" i="12"/>
  <c r="V40" i="12"/>
  <c r="X27" i="12"/>
  <c r="Y38" i="12"/>
  <c r="W33" i="12"/>
  <c r="U28" i="12"/>
  <c r="X40" i="12"/>
  <c r="V29" i="12"/>
  <c r="V36" i="12"/>
  <c r="Z24" i="12"/>
  <c r="Y37" i="12"/>
  <c r="W32" i="12"/>
  <c r="U27" i="12"/>
  <c r="X38" i="12"/>
  <c r="X28" i="12"/>
  <c r="X23" i="12"/>
  <c r="U26" i="12"/>
  <c r="Y28" i="12"/>
  <c r="X30" i="12"/>
  <c r="Z32" i="12"/>
  <c r="W35" i="12"/>
  <c r="Z36" i="12"/>
  <c r="V39" i="12"/>
  <c r="W26" i="12"/>
  <c r="V26" i="12"/>
  <c r="V35" i="12"/>
  <c r="U35" i="12"/>
  <c r="V23" i="12"/>
  <c r="X31" i="12"/>
  <c r="Y40" i="12"/>
  <c r="V37" i="12"/>
  <c r="U36" i="12"/>
  <c r="Z23" i="12"/>
  <c r="Y29" i="12"/>
  <c r="V25" i="12"/>
  <c r="U34" i="12"/>
  <c r="V34" i="12"/>
  <c r="W25" i="12"/>
  <c r="V33" i="12"/>
  <c r="V38" i="12"/>
  <c r="U37" i="12"/>
  <c r="V27" i="12"/>
  <c r="Y30" i="12"/>
  <c r="V30" i="12"/>
  <c r="W24" i="12"/>
  <c r="W27" i="12"/>
  <c r="X36" i="12"/>
  <c r="Y31" i="12"/>
  <c r="W40" i="12"/>
  <c r="X29" i="12"/>
  <c r="AG34" i="15"/>
  <c r="AE38" i="15"/>
  <c r="AB32" i="15"/>
  <c r="AB29" i="15"/>
  <c r="M20" i="4"/>
  <c r="O20" i="4" s="1"/>
  <c r="AE31" i="9"/>
  <c r="AA32" i="9"/>
  <c r="P12" i="5"/>
  <c r="B17" i="5"/>
  <c r="AF42" i="15"/>
  <c r="AC23" i="15"/>
  <c r="AG31" i="15"/>
  <c r="AE28" i="15"/>
  <c r="AB31" i="15"/>
  <c r="AC38" i="15"/>
  <c r="AE34" i="15"/>
  <c r="AD39" i="15"/>
  <c r="AC26" i="15"/>
  <c r="AG41" i="15"/>
  <c r="AE27" i="15"/>
  <c r="AB25" i="15"/>
  <c r="AG25" i="15"/>
  <c r="AG42" i="15"/>
  <c r="AD40" i="15"/>
  <c r="AG36" i="15"/>
  <c r="AB38" i="15"/>
  <c r="AE33" i="15"/>
  <c r="AF31" i="15"/>
  <c r="AC24" i="15"/>
  <c r="AD29" i="15"/>
  <c r="AG38" i="15"/>
  <c r="AD28" i="15"/>
  <c r="AG35" i="15"/>
  <c r="AB26" i="15"/>
  <c r="AC29" i="15"/>
  <c r="AC41" i="15"/>
  <c r="AF40" i="15"/>
  <c r="AE37" i="15"/>
  <c r="AD42" i="15"/>
  <c r="B18" i="14"/>
  <c r="D18" i="14"/>
  <c r="A19" i="14"/>
  <c r="AC33" i="9"/>
  <c r="AA37" i="9"/>
  <c r="AB32" i="9"/>
  <c r="AA26" i="9"/>
  <c r="AE29" i="9"/>
  <c r="AB39" i="9"/>
  <c r="AC37" i="9"/>
  <c r="AB34" i="9"/>
  <c r="AE33" i="9"/>
  <c r="AD30" i="9"/>
  <c r="AB41" i="9"/>
  <c r="AC41" i="9"/>
  <c r="AB36" i="9"/>
  <c r="AA34" i="9"/>
  <c r="AE37" i="9"/>
  <c r="AD32" i="9"/>
  <c r="AA24" i="9"/>
  <c r="AD27" i="9"/>
  <c r="AB38" i="9"/>
  <c r="AA38" i="9"/>
  <c r="AE41" i="9"/>
  <c r="K21" i="4"/>
  <c r="Q12" i="5"/>
  <c r="C17" i="5"/>
  <c r="AE41" i="15"/>
  <c r="AE42" i="15"/>
  <c r="AD23" i="15"/>
  <c r="AD34" i="15"/>
  <c r="AC39" i="15"/>
  <c r="AD26" i="15"/>
  <c r="AB24" i="15"/>
  <c r="AB34" i="15"/>
  <c r="AG37" i="15"/>
  <c r="AF26" i="15"/>
  <c r="AC31" i="15"/>
  <c r="AD24" i="15"/>
  <c r="AG23" i="15"/>
  <c r="AC42" i="15"/>
  <c r="AD38" i="15"/>
  <c r="AG33" i="15"/>
  <c r="AB36" i="15"/>
  <c r="AE30" i="15"/>
  <c r="AF33" i="15"/>
  <c r="AG26" i="15"/>
  <c r="AD31" i="15"/>
  <c r="AE23" i="15"/>
  <c r="AB27" i="15"/>
  <c r="AC32" i="15"/>
  <c r="AF24" i="15"/>
  <c r="AG24" i="15"/>
  <c r="C17" i="14"/>
  <c r="E17" i="14" s="1"/>
  <c r="AA28" i="9"/>
  <c r="AD29" i="9"/>
  <c r="AC24" i="9"/>
  <c r="AF25" i="9"/>
  <c r="AD36" i="9"/>
  <c r="AE35" i="9"/>
  <c r="AD31" i="9"/>
  <c r="AE24" i="9"/>
  <c r="AF27" i="9"/>
  <c r="AD38" i="9"/>
  <c r="AA36" i="9"/>
  <c r="AD33" i="9"/>
  <c r="AE28" i="9"/>
  <c r="AC32" i="9"/>
  <c r="AD40" i="9"/>
  <c r="AA40" i="9"/>
  <c r="AF24" i="9"/>
  <c r="AE32" i="9"/>
  <c r="AC36" i="9"/>
  <c r="AF31" i="9"/>
  <c r="B22" i="4"/>
  <c r="I22" i="4" s="1"/>
  <c r="A23" i="4"/>
  <c r="K22" i="4"/>
  <c r="AD30" i="15"/>
  <c r="AB28" i="15"/>
  <c r="AC37" i="15"/>
  <c r="AD41" i="15"/>
  <c r="AF25" i="15"/>
  <c r="AF28" i="15"/>
  <c r="AG27" i="15"/>
  <c r="AE24" i="15"/>
  <c r="AE35" i="15"/>
  <c r="AC30" i="15"/>
  <c r="AD36" i="15"/>
  <c r="AF39" i="15"/>
  <c r="AC36" i="15"/>
  <c r="AD37" i="15"/>
  <c r="AE32" i="15"/>
  <c r="AB35" i="15"/>
  <c r="AG28" i="15"/>
  <c r="AF32" i="15"/>
  <c r="AE25" i="15"/>
  <c r="AF27" i="15"/>
  <c r="AC34" i="15"/>
  <c r="AD25" i="15"/>
  <c r="AC27" i="15"/>
  <c r="AB23" i="15"/>
  <c r="AB42" i="15"/>
  <c r="AG39" i="15"/>
  <c r="AF37" i="15"/>
  <c r="AG32" i="15"/>
  <c r="AD35" i="15"/>
  <c r="AE29" i="15"/>
  <c r="G16" i="14"/>
  <c r="D17" i="14"/>
  <c r="F17" i="14" s="1"/>
  <c r="AE38" i="9"/>
  <c r="AF34" i="9"/>
  <c r="AC31" i="9"/>
  <c r="AA35" i="9"/>
  <c r="AF41" i="9"/>
  <c r="AA25" i="9"/>
  <c r="AB26" i="9"/>
  <c r="AC35" i="9"/>
  <c r="AA39" i="9"/>
  <c r="AB33" i="9"/>
  <c r="AA29" i="9"/>
  <c r="AB28" i="9"/>
  <c r="AF38" i="9"/>
  <c r="AD24" i="9"/>
  <c r="AB35" i="9"/>
  <c r="AC29" i="9"/>
  <c r="AB30" i="9"/>
  <c r="AF40" i="9"/>
  <c r="AE25" i="9"/>
  <c r="AB37" i="9"/>
  <c r="R12" i="5"/>
  <c r="D17" i="5"/>
  <c r="AF23" i="15"/>
  <c r="AG40" i="15"/>
  <c r="AB37" i="15"/>
  <c r="AF34" i="15"/>
  <c r="AC28" i="15"/>
  <c r="AB41" i="15"/>
  <c r="AF38" i="15"/>
  <c r="AF41" i="15"/>
  <c r="AB33" i="15"/>
  <c r="AF30" i="15"/>
  <c r="AG30" i="15"/>
  <c r="AF35" i="15"/>
  <c r="AG29" i="15"/>
  <c r="AD33" i="15"/>
  <c r="AE26" i="15"/>
  <c r="AF29" i="15"/>
  <c r="AE39" i="15"/>
  <c r="AD27" i="15"/>
  <c r="AC33" i="15"/>
  <c r="AC40" i="15"/>
  <c r="AB40" i="15"/>
  <c r="AE36" i="15"/>
  <c r="AB39" i="15"/>
  <c r="AC35" i="15"/>
  <c r="AF36" i="15"/>
  <c r="AE31" i="15"/>
  <c r="AD32" i="15"/>
  <c r="AC25" i="15"/>
  <c r="AB30" i="15"/>
  <c r="AE40" i="15"/>
  <c r="AC26" i="9"/>
  <c r="AF26" i="9"/>
  <c r="AE36" i="9"/>
  <c r="AC40" i="9"/>
  <c r="AF33" i="9"/>
  <c r="AC30" i="9"/>
  <c r="AF28" i="9"/>
  <c r="AD39" i="9"/>
  <c r="AB25" i="9"/>
  <c r="AF35" i="9"/>
  <c r="AE30" i="9"/>
  <c r="AF30" i="9"/>
  <c r="AD41" i="9"/>
  <c r="AA27" i="9"/>
  <c r="AF37" i="9"/>
  <c r="AE34" i="9"/>
  <c r="AC38" i="9"/>
  <c r="AC27" i="9"/>
  <c r="AA31" i="9"/>
  <c r="AB29" i="9"/>
  <c r="H21" i="4"/>
  <c r="J21" i="4"/>
  <c r="L21" i="4"/>
  <c r="M36" i="17"/>
  <c r="M38" i="17" s="1"/>
  <c r="F8" i="17" s="1"/>
  <c r="J36" i="17"/>
  <c r="J38" i="17" s="1"/>
  <c r="C8" i="17" s="1"/>
  <c r="N36" i="17"/>
  <c r="N38" i="17" s="1"/>
  <c r="G8" i="17" s="1"/>
  <c r="K36" i="17"/>
  <c r="K38" i="17" s="1"/>
  <c r="D8" i="17" s="1"/>
  <c r="L36" i="17"/>
  <c r="N20" i="4"/>
  <c r="P20" i="4" s="1"/>
  <c r="B23" i="4" l="1"/>
  <c r="G23" i="4"/>
  <c r="A24" i="4"/>
  <c r="I23" i="4"/>
  <c r="K23" i="4"/>
  <c r="AC35" i="12"/>
  <c r="AA27" i="12"/>
  <c r="AF31" i="12"/>
  <c r="AA38" i="12"/>
  <c r="AF28" i="12"/>
  <c r="AF35" i="12"/>
  <c r="AB32" i="12"/>
  <c r="AE26" i="12"/>
  <c r="AD37" i="12"/>
  <c r="L38" i="17"/>
  <c r="E8" i="17" s="1"/>
  <c r="G22" i="4"/>
  <c r="F18" i="14"/>
  <c r="C18" i="14"/>
  <c r="E18" i="14" s="1"/>
  <c r="G18" i="14" s="1"/>
  <c r="AE31" i="12"/>
  <c r="AB30" i="12"/>
  <c r="AB38" i="12"/>
  <c r="AA34" i="12"/>
  <c r="AA36" i="12"/>
  <c r="AB23" i="12"/>
  <c r="AC26" i="12"/>
  <c r="AF32" i="12"/>
  <c r="AD23" i="12"/>
  <c r="AC32" i="12"/>
  <c r="AB29" i="12"/>
  <c r="AE38" i="12"/>
  <c r="AE23" i="12"/>
  <c r="AF40" i="12"/>
  <c r="AE36" i="12"/>
  <c r="AE32" i="12"/>
  <c r="AF27" i="12"/>
  <c r="AC23" i="12"/>
  <c r="AA23" i="12"/>
  <c r="AE33" i="12"/>
  <c r="AB28" i="12"/>
  <c r="AD32" i="12"/>
  <c r="AC29" i="12"/>
  <c r="AA40" i="12"/>
  <c r="AD24" i="12"/>
  <c r="AA25" i="12"/>
  <c r="AE35" i="12"/>
  <c r="AC40" i="12"/>
  <c r="AC24" i="12"/>
  <c r="AA37" i="12"/>
  <c r="AB34" i="12"/>
  <c r="AF23" i="12"/>
  <c r="AD31" i="12"/>
  <c r="AB26" i="12"/>
  <c r="AA26" i="12"/>
  <c r="AB36" i="12"/>
  <c r="AC33" i="12"/>
  <c r="AE39" i="12"/>
  <c r="AF33" i="12"/>
  <c r="AE24" i="12"/>
  <c r="AA31" i="12"/>
  <c r="AD26" i="12"/>
  <c r="AC37" i="12"/>
  <c r="AA33" i="12"/>
  <c r="N21" i="4"/>
  <c r="P21" i="4" s="1"/>
  <c r="AH23" i="15" a="1"/>
  <c r="G17" i="14"/>
  <c r="M21" i="4"/>
  <c r="O21" i="4" s="1"/>
  <c r="A20" i="14"/>
  <c r="B19" i="14"/>
  <c r="AD36" i="12"/>
  <c r="AE30" i="12"/>
  <c r="AB33" i="12"/>
  <c r="AB25" i="12"/>
  <c r="AB37" i="12"/>
  <c r="AA35" i="12"/>
  <c r="AB39" i="12"/>
  <c r="AD30" i="12"/>
  <c r="AD28" i="12"/>
  <c r="AE37" i="12"/>
  <c r="AD40" i="12"/>
  <c r="AD27" i="12"/>
  <c r="AA29" i="12"/>
  <c r="AC39" i="12"/>
  <c r="AD35" i="12"/>
  <c r="AC31" i="12"/>
  <c r="AF26" i="12"/>
  <c r="AF25" i="12"/>
  <c r="AE25" i="12"/>
  <c r="AC36" i="12"/>
  <c r="AD33" i="12"/>
  <c r="AF37" i="12"/>
  <c r="AA32" i="12"/>
  <c r="AB24" i="12"/>
  <c r="AF29" i="12"/>
  <c r="AE27" i="12"/>
  <c r="AC38" i="12"/>
  <c r="AF39" i="12"/>
  <c r="L22" i="4"/>
  <c r="N22" i="4" s="1"/>
  <c r="P22" i="4" s="1"/>
  <c r="H22" i="4"/>
  <c r="J22" i="4"/>
  <c r="AG24" i="9" a="1"/>
  <c r="B11" i="5" a="1"/>
  <c r="B11" i="5" s="1"/>
  <c r="AD29" i="12"/>
  <c r="AC27" i="12"/>
  <c r="AB27" i="12"/>
  <c r="AC25" i="12"/>
  <c r="AE29" i="12"/>
  <c r="AE40" i="12"/>
  <c r="AB35" i="12"/>
  <c r="AF36" i="12"/>
  <c r="AE28" i="12"/>
  <c r="AD38" i="12"/>
  <c r="AF24" i="12"/>
  <c r="AA28" i="12"/>
  <c r="AB40" i="12"/>
  <c r="AC34" i="12"/>
  <c r="AF38" i="12"/>
  <c r="AF34" i="12"/>
  <c r="AA30" i="12"/>
  <c r="AD25" i="12"/>
  <c r="AB31" i="12"/>
  <c r="AC28" i="12"/>
  <c r="AA39" i="12"/>
  <c r="AD39" i="12"/>
  <c r="AA24" i="12"/>
  <c r="AE34" i="12"/>
  <c r="AF30" i="12"/>
  <c r="AD34" i="12"/>
  <c r="AC30" i="12"/>
  <c r="E10" i="5" l="1"/>
  <c r="F10" i="5"/>
  <c r="AH24" i="9"/>
  <c r="AN24" i="9" s="1"/>
  <c r="AL24" i="9"/>
  <c r="AR24" i="9" s="1"/>
  <c r="AL25" i="9"/>
  <c r="AR25" i="9" s="1"/>
  <c r="AJ26" i="9"/>
  <c r="AP26" i="9" s="1"/>
  <c r="AH27" i="9"/>
  <c r="AN27" i="9" s="1"/>
  <c r="AL27" i="9"/>
  <c r="AR27" i="9" s="1"/>
  <c r="AJ28" i="9"/>
  <c r="AP28" i="9" s="1"/>
  <c r="AH29" i="9"/>
  <c r="AN29" i="9" s="1"/>
  <c r="AL29" i="9"/>
  <c r="AR29" i="9" s="1"/>
  <c r="AJ30" i="9"/>
  <c r="AP30" i="9" s="1"/>
  <c r="AH31" i="9"/>
  <c r="AN31" i="9" s="1"/>
  <c r="AL31" i="9"/>
  <c r="AR31" i="9" s="1"/>
  <c r="AJ32" i="9"/>
  <c r="AP32" i="9" s="1"/>
  <c r="AH33" i="9"/>
  <c r="AN33" i="9" s="1"/>
  <c r="AL33" i="9"/>
  <c r="AR33" i="9" s="1"/>
  <c r="AJ34" i="9"/>
  <c r="AP34" i="9" s="1"/>
  <c r="AH35" i="9"/>
  <c r="AN35" i="9" s="1"/>
  <c r="AL35" i="9"/>
  <c r="AR35" i="9" s="1"/>
  <c r="AJ36" i="9"/>
  <c r="AP36" i="9" s="1"/>
  <c r="AH37" i="9"/>
  <c r="AN37" i="9" s="1"/>
  <c r="AL37" i="9"/>
  <c r="AR37" i="9" s="1"/>
  <c r="AJ38" i="9"/>
  <c r="AP38" i="9" s="1"/>
  <c r="AH39" i="9"/>
  <c r="AN39" i="9" s="1"/>
  <c r="AL39" i="9"/>
  <c r="AR39" i="9" s="1"/>
  <c r="AJ40" i="9"/>
  <c r="AP40" i="9" s="1"/>
  <c r="AH41" i="9"/>
  <c r="AN41" i="9" s="1"/>
  <c r="AL41" i="9"/>
  <c r="AR41" i="9" s="1"/>
  <c r="AK24" i="9"/>
  <c r="AQ24" i="9" s="1"/>
  <c r="AG26" i="9"/>
  <c r="AM26" i="9" s="1"/>
  <c r="AI27" i="9"/>
  <c r="AO27" i="9" s="1"/>
  <c r="AK28" i="9"/>
  <c r="AQ28" i="9" s="1"/>
  <c r="AG30" i="9"/>
  <c r="AM30" i="9" s="1"/>
  <c r="AI31" i="9"/>
  <c r="AO31" i="9" s="1"/>
  <c r="AK32" i="9"/>
  <c r="AQ32" i="9" s="1"/>
  <c r="AG34" i="9"/>
  <c r="AM34" i="9" s="1"/>
  <c r="AI35" i="9"/>
  <c r="AO35" i="9" s="1"/>
  <c r="AK36" i="9"/>
  <c r="AQ36" i="9" s="1"/>
  <c r="AG38" i="9"/>
  <c r="AM38" i="9" s="1"/>
  <c r="AI39" i="9"/>
  <c r="AO39" i="9" s="1"/>
  <c r="AK40" i="9"/>
  <c r="AQ40" i="9" s="1"/>
  <c r="AI24" i="9"/>
  <c r="AO24" i="9" s="1"/>
  <c r="AK25" i="9"/>
  <c r="AQ25" i="9" s="1"/>
  <c r="AG27" i="9"/>
  <c r="AM27" i="9" s="1"/>
  <c r="AI28" i="9"/>
  <c r="AO28" i="9" s="1"/>
  <c r="AK29" i="9"/>
  <c r="AQ29" i="9" s="1"/>
  <c r="AG31" i="9"/>
  <c r="AM31" i="9" s="1"/>
  <c r="AI32" i="9"/>
  <c r="AO32" i="9" s="1"/>
  <c r="AK33" i="9"/>
  <c r="AQ33" i="9" s="1"/>
  <c r="AG35" i="9"/>
  <c r="AM35" i="9" s="1"/>
  <c r="AI36" i="9"/>
  <c r="AO36" i="9" s="1"/>
  <c r="AK37" i="9"/>
  <c r="AQ37" i="9" s="1"/>
  <c r="AG39" i="9"/>
  <c r="AM39" i="9" s="1"/>
  <c r="AI40" i="9"/>
  <c r="AO40" i="9" s="1"/>
  <c r="AK41" i="9"/>
  <c r="AQ41" i="9" s="1"/>
  <c r="AH25" i="9"/>
  <c r="AN25" i="9" s="1"/>
  <c r="AJ24" i="9"/>
  <c r="AP24" i="9" s="1"/>
  <c r="AH26" i="9"/>
  <c r="AN26" i="9" s="1"/>
  <c r="AL26" i="9"/>
  <c r="AR26" i="9" s="1"/>
  <c r="AJ27" i="9"/>
  <c r="AP27" i="9" s="1"/>
  <c r="AH28" i="9"/>
  <c r="AN28" i="9" s="1"/>
  <c r="AL28" i="9"/>
  <c r="AR28" i="9" s="1"/>
  <c r="AJ29" i="9"/>
  <c r="AP29" i="9" s="1"/>
  <c r="AH30" i="9"/>
  <c r="AN30" i="9" s="1"/>
  <c r="AL30" i="9"/>
  <c r="AR30" i="9" s="1"/>
  <c r="AJ31" i="9"/>
  <c r="AP31" i="9" s="1"/>
  <c r="AH32" i="9"/>
  <c r="AN32" i="9" s="1"/>
  <c r="AL32" i="9"/>
  <c r="AR32" i="9" s="1"/>
  <c r="AJ33" i="9"/>
  <c r="AP33" i="9" s="1"/>
  <c r="AH34" i="9"/>
  <c r="AN34" i="9" s="1"/>
  <c r="AL34" i="9"/>
  <c r="AR34" i="9" s="1"/>
  <c r="AJ35" i="9"/>
  <c r="AP35" i="9" s="1"/>
  <c r="AH36" i="9"/>
  <c r="AN36" i="9" s="1"/>
  <c r="AL36" i="9"/>
  <c r="AR36" i="9" s="1"/>
  <c r="AJ37" i="9"/>
  <c r="AP37" i="9" s="1"/>
  <c r="AH38" i="9"/>
  <c r="AN38" i="9" s="1"/>
  <c r="AL38" i="9"/>
  <c r="AR38" i="9" s="1"/>
  <c r="AJ39" i="9"/>
  <c r="AP39" i="9" s="1"/>
  <c r="AH40" i="9"/>
  <c r="AN40" i="9" s="1"/>
  <c r="AL40" i="9"/>
  <c r="AR40" i="9" s="1"/>
  <c r="AJ41" i="9"/>
  <c r="AP41" i="9" s="1"/>
  <c r="AG24" i="9"/>
  <c r="AM24" i="9" s="1"/>
  <c r="AI25" i="9"/>
  <c r="AO25" i="9" s="1"/>
  <c r="AK26" i="9"/>
  <c r="AQ26" i="9" s="1"/>
  <c r="AG28" i="9"/>
  <c r="AM28" i="9" s="1"/>
  <c r="AI29" i="9"/>
  <c r="AO29" i="9" s="1"/>
  <c r="AK30" i="9"/>
  <c r="AQ30" i="9" s="1"/>
  <c r="AG32" i="9"/>
  <c r="AM32" i="9" s="1"/>
  <c r="AI33" i="9"/>
  <c r="AO33" i="9" s="1"/>
  <c r="AK34" i="9"/>
  <c r="AQ34" i="9" s="1"/>
  <c r="AG36" i="9"/>
  <c r="AM36" i="9" s="1"/>
  <c r="AI37" i="9"/>
  <c r="AO37" i="9" s="1"/>
  <c r="AK38" i="9"/>
  <c r="AQ38" i="9" s="1"/>
  <c r="AG40" i="9"/>
  <c r="AM40" i="9" s="1"/>
  <c r="AI41" i="9"/>
  <c r="AO41" i="9" s="1"/>
  <c r="AG25" i="9"/>
  <c r="AM25" i="9" s="1"/>
  <c r="AI26" i="9"/>
  <c r="AO26" i="9" s="1"/>
  <c r="AK27" i="9"/>
  <c r="AQ27" i="9" s="1"/>
  <c r="AG29" i="9"/>
  <c r="AM29" i="9" s="1"/>
  <c r="AI30" i="9"/>
  <c r="AO30" i="9" s="1"/>
  <c r="AK31" i="9"/>
  <c r="AQ31" i="9" s="1"/>
  <c r="AG33" i="9"/>
  <c r="AM33" i="9" s="1"/>
  <c r="AI34" i="9"/>
  <c r="AO34" i="9" s="1"/>
  <c r="AK35" i="9"/>
  <c r="AQ35" i="9" s="1"/>
  <c r="AG37" i="9"/>
  <c r="AM37" i="9" s="1"/>
  <c r="AI38" i="9"/>
  <c r="AO38" i="9" s="1"/>
  <c r="AK39" i="9"/>
  <c r="AQ39" i="9" s="1"/>
  <c r="AG41" i="9"/>
  <c r="AM41" i="9" s="1"/>
  <c r="AJ25" i="9"/>
  <c r="AP25" i="9" s="1"/>
  <c r="M22" i="4"/>
  <c r="O22" i="4" s="1"/>
  <c r="B24" i="4"/>
  <c r="A25" i="4"/>
  <c r="I24" i="4"/>
  <c r="AI23" i="15"/>
  <c r="AO23" i="15" s="1"/>
  <c r="AM23" i="15"/>
  <c r="AS23" i="15" s="1"/>
  <c r="AK24" i="15"/>
  <c r="AQ24" i="15" s="1"/>
  <c r="AI25" i="15"/>
  <c r="AO25" i="15" s="1"/>
  <c r="AM25" i="15"/>
  <c r="AS25" i="15" s="1"/>
  <c r="AK26" i="15"/>
  <c r="AQ26" i="15" s="1"/>
  <c r="AI27" i="15"/>
  <c r="AO27" i="15" s="1"/>
  <c r="AM27" i="15"/>
  <c r="AS27" i="15" s="1"/>
  <c r="AK28" i="15"/>
  <c r="AQ28" i="15" s="1"/>
  <c r="AI29" i="15"/>
  <c r="AO29" i="15" s="1"/>
  <c r="AM29" i="15"/>
  <c r="AS29" i="15" s="1"/>
  <c r="AK30" i="15"/>
  <c r="AQ30" i="15" s="1"/>
  <c r="AI31" i="15"/>
  <c r="AO31" i="15" s="1"/>
  <c r="AM31" i="15"/>
  <c r="AS31" i="15" s="1"/>
  <c r="AK32" i="15"/>
  <c r="AQ32" i="15" s="1"/>
  <c r="AI33" i="15"/>
  <c r="AO33" i="15" s="1"/>
  <c r="AM33" i="15"/>
  <c r="AS33" i="15" s="1"/>
  <c r="AK34" i="15"/>
  <c r="AQ34" i="15" s="1"/>
  <c r="AI35" i="15"/>
  <c r="AO35" i="15" s="1"/>
  <c r="AM35" i="15"/>
  <c r="AS35" i="15" s="1"/>
  <c r="AK36" i="15"/>
  <c r="AQ36" i="15" s="1"/>
  <c r="AI37" i="15"/>
  <c r="AO37" i="15" s="1"/>
  <c r="AM37" i="15"/>
  <c r="AS37" i="15" s="1"/>
  <c r="AK38" i="15"/>
  <c r="AQ38" i="15" s="1"/>
  <c r="AI39" i="15"/>
  <c r="AO39" i="15" s="1"/>
  <c r="AM39" i="15"/>
  <c r="AS39" i="15" s="1"/>
  <c r="AK40" i="15"/>
  <c r="AQ40" i="15" s="1"/>
  <c r="AI41" i="15"/>
  <c r="AO41" i="15" s="1"/>
  <c r="AM41" i="15"/>
  <c r="AS41" i="15" s="1"/>
  <c r="AK42" i="15"/>
  <c r="AQ42" i="15" s="1"/>
  <c r="AJ23" i="15"/>
  <c r="AP23" i="15" s="1"/>
  <c r="AL24" i="15"/>
  <c r="AR24" i="15" s="1"/>
  <c r="AH26" i="15"/>
  <c r="AN26" i="15" s="1"/>
  <c r="AJ27" i="15"/>
  <c r="AP27" i="15" s="1"/>
  <c r="AL28" i="15"/>
  <c r="AR28" i="15" s="1"/>
  <c r="AH30" i="15"/>
  <c r="AN30" i="15" s="1"/>
  <c r="AJ31" i="15"/>
  <c r="AP31" i="15" s="1"/>
  <c r="AL32" i="15"/>
  <c r="AR32" i="15" s="1"/>
  <c r="AH34" i="15"/>
  <c r="AN34" i="15" s="1"/>
  <c r="AJ35" i="15"/>
  <c r="AP35" i="15" s="1"/>
  <c r="AL36" i="15"/>
  <c r="AR36" i="15" s="1"/>
  <c r="AH38" i="15"/>
  <c r="AN38" i="15" s="1"/>
  <c r="AJ39" i="15"/>
  <c r="AP39" i="15" s="1"/>
  <c r="AL40" i="15"/>
  <c r="AR40" i="15" s="1"/>
  <c r="AH42" i="15"/>
  <c r="AN42" i="15" s="1"/>
  <c r="AH23" i="15"/>
  <c r="AN23" i="15" s="1"/>
  <c r="AJ24" i="15"/>
  <c r="AP24" i="15" s="1"/>
  <c r="AL25" i="15"/>
  <c r="AR25" i="15" s="1"/>
  <c r="AH27" i="15"/>
  <c r="AN27" i="15" s="1"/>
  <c r="AJ28" i="15"/>
  <c r="AP28" i="15" s="1"/>
  <c r="AL29" i="15"/>
  <c r="AR29" i="15" s="1"/>
  <c r="AH31" i="15"/>
  <c r="AN31" i="15" s="1"/>
  <c r="AJ32" i="15"/>
  <c r="AP32" i="15" s="1"/>
  <c r="AL33" i="15"/>
  <c r="AR33" i="15" s="1"/>
  <c r="AH35" i="15"/>
  <c r="AN35" i="15" s="1"/>
  <c r="AJ36" i="15"/>
  <c r="AP36" i="15" s="1"/>
  <c r="AL37" i="15"/>
  <c r="AR37" i="15" s="1"/>
  <c r="AH39" i="15"/>
  <c r="AN39" i="15" s="1"/>
  <c r="AJ40" i="15"/>
  <c r="AP40" i="15" s="1"/>
  <c r="AL41" i="15"/>
  <c r="AR41" i="15" s="1"/>
  <c r="AK23" i="15"/>
  <c r="AQ23" i="15" s="1"/>
  <c r="AI24" i="15"/>
  <c r="AO24" i="15" s="1"/>
  <c r="AM24" i="15"/>
  <c r="AS24" i="15" s="1"/>
  <c r="AK25" i="15"/>
  <c r="AQ25" i="15" s="1"/>
  <c r="AI26" i="15"/>
  <c r="AO26" i="15" s="1"/>
  <c r="AM26" i="15"/>
  <c r="AS26" i="15" s="1"/>
  <c r="AK27" i="15"/>
  <c r="AQ27" i="15" s="1"/>
  <c r="AI28" i="15"/>
  <c r="AO28" i="15" s="1"/>
  <c r="AM28" i="15"/>
  <c r="AS28" i="15" s="1"/>
  <c r="AK29" i="15"/>
  <c r="AQ29" i="15" s="1"/>
  <c r="AI30" i="15"/>
  <c r="AO30" i="15" s="1"/>
  <c r="AM30" i="15"/>
  <c r="AS30" i="15" s="1"/>
  <c r="AK31" i="15"/>
  <c r="AQ31" i="15" s="1"/>
  <c r="AI32" i="15"/>
  <c r="AO32" i="15" s="1"/>
  <c r="AM32" i="15"/>
  <c r="AS32" i="15" s="1"/>
  <c r="AK33" i="15"/>
  <c r="AQ33" i="15" s="1"/>
  <c r="AI34" i="15"/>
  <c r="AO34" i="15" s="1"/>
  <c r="AM34" i="15"/>
  <c r="AS34" i="15" s="1"/>
  <c r="AK35" i="15"/>
  <c r="AQ35" i="15" s="1"/>
  <c r="AI36" i="15"/>
  <c r="AO36" i="15" s="1"/>
  <c r="AM36" i="15"/>
  <c r="AS36" i="15" s="1"/>
  <c r="AK37" i="15"/>
  <c r="AQ37" i="15" s="1"/>
  <c r="AI38" i="15"/>
  <c r="AO38" i="15" s="1"/>
  <c r="AM38" i="15"/>
  <c r="AS38" i="15" s="1"/>
  <c r="AK39" i="15"/>
  <c r="AQ39" i="15" s="1"/>
  <c r="AI40" i="15"/>
  <c r="AO40" i="15" s="1"/>
  <c r="AM40" i="15"/>
  <c r="AS40" i="15" s="1"/>
  <c r="AK41" i="15"/>
  <c r="AQ41" i="15" s="1"/>
  <c r="AI42" i="15"/>
  <c r="AO42" i="15" s="1"/>
  <c r="AM42" i="15"/>
  <c r="AS42" i="15" s="1"/>
  <c r="AH24" i="15"/>
  <c r="AN24" i="15" s="1"/>
  <c r="AJ25" i="15"/>
  <c r="AP25" i="15" s="1"/>
  <c r="AL26" i="15"/>
  <c r="AR26" i="15" s="1"/>
  <c r="AH28" i="15"/>
  <c r="AN28" i="15" s="1"/>
  <c r="AJ29" i="15"/>
  <c r="AP29" i="15" s="1"/>
  <c r="AL30" i="15"/>
  <c r="AR30" i="15" s="1"/>
  <c r="AH32" i="15"/>
  <c r="AN32" i="15" s="1"/>
  <c r="AJ33" i="15"/>
  <c r="AP33" i="15" s="1"/>
  <c r="AL34" i="15"/>
  <c r="AR34" i="15" s="1"/>
  <c r="AH36" i="15"/>
  <c r="AN36" i="15" s="1"/>
  <c r="AJ37" i="15"/>
  <c r="AP37" i="15" s="1"/>
  <c r="AL38" i="15"/>
  <c r="AR38" i="15" s="1"/>
  <c r="AH40" i="15"/>
  <c r="AN40" i="15" s="1"/>
  <c r="AJ41" i="15"/>
  <c r="AP41" i="15" s="1"/>
  <c r="AL42" i="15"/>
  <c r="AR42" i="15" s="1"/>
  <c r="AL23" i="15"/>
  <c r="AR23" i="15" s="1"/>
  <c r="AH25" i="15"/>
  <c r="AN25" i="15" s="1"/>
  <c r="AJ26" i="15"/>
  <c r="AP26" i="15" s="1"/>
  <c r="AL27" i="15"/>
  <c r="AR27" i="15" s="1"/>
  <c r="AH29" i="15"/>
  <c r="AN29" i="15" s="1"/>
  <c r="AJ30" i="15"/>
  <c r="AP30" i="15" s="1"/>
  <c r="AL31" i="15"/>
  <c r="AR31" i="15" s="1"/>
  <c r="AH33" i="15"/>
  <c r="AN33" i="15" s="1"/>
  <c r="AJ34" i="15"/>
  <c r="AP34" i="15" s="1"/>
  <c r="AL35" i="15"/>
  <c r="AR35" i="15" s="1"/>
  <c r="AH37" i="15"/>
  <c r="AN37" i="15" s="1"/>
  <c r="AJ38" i="15"/>
  <c r="AP38" i="15" s="1"/>
  <c r="AL39" i="15"/>
  <c r="AR39" i="15" s="1"/>
  <c r="AH41" i="15"/>
  <c r="AN41" i="15" s="1"/>
  <c r="AJ42" i="15"/>
  <c r="AP42" i="15" s="1"/>
  <c r="AG23" i="12" a="1"/>
  <c r="C10" i="5"/>
  <c r="D10" i="5"/>
  <c r="F19" i="14"/>
  <c r="C19" i="14"/>
  <c r="E19" i="14" s="1"/>
  <c r="B10" i="5"/>
  <c r="D19" i="14"/>
  <c r="B20" i="14"/>
  <c r="A21" i="14"/>
  <c r="D20" i="14"/>
  <c r="L23" i="4"/>
  <c r="J23" i="4"/>
  <c r="H23" i="4"/>
  <c r="F20" i="14" l="1"/>
  <c r="C20" i="14"/>
  <c r="E20" i="14" s="1"/>
  <c r="G20" i="14" s="1"/>
  <c r="L24" i="4"/>
  <c r="H24" i="4"/>
  <c r="J24" i="4"/>
  <c r="F51" i="9" a="1"/>
  <c r="F51" i="9" s="1"/>
  <c r="C51" i="9" a="1"/>
  <c r="C51" i="9" s="1"/>
  <c r="E51" i="9" a="1"/>
  <c r="E51" i="9" s="1"/>
  <c r="D51" i="9" a="1"/>
  <c r="D51" i="9" s="1"/>
  <c r="B51" i="9" a="1"/>
  <c r="B51" i="9" s="1"/>
  <c r="E51" i="15" a="1"/>
  <c r="E51" i="15" s="1"/>
  <c r="B25" i="4"/>
  <c r="A26" i="4"/>
  <c r="G25" i="4"/>
  <c r="B50" i="9" a="1"/>
  <c r="B50" i="9" s="1"/>
  <c r="D50" i="9" a="1"/>
  <c r="D50" i="9" s="1"/>
  <c r="C50" i="9" a="1"/>
  <c r="C50" i="9" s="1"/>
  <c r="N23" i="4"/>
  <c r="P23" i="4" s="1"/>
  <c r="B21" i="14"/>
  <c r="A22" i="14"/>
  <c r="D21" i="14"/>
  <c r="G51" i="15" a="1"/>
  <c r="G51" i="15" s="1"/>
  <c r="C51" i="15" a="1"/>
  <c r="C51" i="15" s="1"/>
  <c r="G52" i="15" a="1"/>
  <c r="G52" i="15" s="1"/>
  <c r="C52" i="15" a="1"/>
  <c r="C52" i="15" s="1"/>
  <c r="F52" i="15" a="1"/>
  <c r="F52" i="15" s="1"/>
  <c r="D52" i="15" a="1"/>
  <c r="D52" i="15" s="1"/>
  <c r="E52" i="15" a="1"/>
  <c r="E52" i="15" s="1"/>
  <c r="E22" i="15" s="1"/>
  <c r="G24" i="4"/>
  <c r="E50" i="9" a="1"/>
  <c r="E50" i="9" s="1"/>
  <c r="F50" i="9" a="1"/>
  <c r="F50" i="9" s="1"/>
  <c r="M23" i="4"/>
  <c r="O23" i="4" s="1"/>
  <c r="G19" i="14"/>
  <c r="AH23" i="12"/>
  <c r="AN23" i="12" s="1"/>
  <c r="AL23" i="12"/>
  <c r="AR23" i="12" s="1"/>
  <c r="AJ24" i="12"/>
  <c r="AP24" i="12" s="1"/>
  <c r="AH25" i="12"/>
  <c r="AN25" i="12" s="1"/>
  <c r="AL25" i="12"/>
  <c r="AR25" i="12" s="1"/>
  <c r="AJ26" i="12"/>
  <c r="AP26" i="12" s="1"/>
  <c r="AH27" i="12"/>
  <c r="AN27" i="12" s="1"/>
  <c r="AL27" i="12"/>
  <c r="AR27" i="12" s="1"/>
  <c r="AJ28" i="12"/>
  <c r="AP28" i="12" s="1"/>
  <c r="AH29" i="12"/>
  <c r="AN29" i="12" s="1"/>
  <c r="AL29" i="12"/>
  <c r="AR29" i="12" s="1"/>
  <c r="AJ30" i="12"/>
  <c r="AP30" i="12" s="1"/>
  <c r="AH31" i="12"/>
  <c r="AN31" i="12" s="1"/>
  <c r="AL31" i="12"/>
  <c r="AR31" i="12" s="1"/>
  <c r="AJ32" i="12"/>
  <c r="AP32" i="12" s="1"/>
  <c r="AH33" i="12"/>
  <c r="AN33" i="12" s="1"/>
  <c r="AL33" i="12"/>
  <c r="AR33" i="12" s="1"/>
  <c r="AJ34" i="12"/>
  <c r="AP34" i="12" s="1"/>
  <c r="AH35" i="12"/>
  <c r="AN35" i="12" s="1"/>
  <c r="AL35" i="12"/>
  <c r="AR35" i="12" s="1"/>
  <c r="AJ36" i="12"/>
  <c r="AP36" i="12" s="1"/>
  <c r="AH37" i="12"/>
  <c r="AN37" i="12" s="1"/>
  <c r="AL37" i="12"/>
  <c r="AR37" i="12" s="1"/>
  <c r="AJ38" i="12"/>
  <c r="AP38" i="12" s="1"/>
  <c r="AH39" i="12"/>
  <c r="AN39" i="12" s="1"/>
  <c r="AL39" i="12"/>
  <c r="AR39" i="12" s="1"/>
  <c r="AJ40" i="12"/>
  <c r="AP40" i="12" s="1"/>
  <c r="AG23" i="12"/>
  <c r="AM23" i="12" s="1"/>
  <c r="AI24" i="12"/>
  <c r="AO24" i="12" s="1"/>
  <c r="AK25" i="12"/>
  <c r="AQ25" i="12" s="1"/>
  <c r="AG27" i="12"/>
  <c r="AM27" i="12" s="1"/>
  <c r="AI28" i="12"/>
  <c r="AO28" i="12" s="1"/>
  <c r="AK29" i="12"/>
  <c r="AQ29" i="12" s="1"/>
  <c r="AG31" i="12"/>
  <c r="AM31" i="12" s="1"/>
  <c r="AI32" i="12"/>
  <c r="AO32" i="12" s="1"/>
  <c r="AK33" i="12"/>
  <c r="AQ33" i="12" s="1"/>
  <c r="AG35" i="12"/>
  <c r="AM35" i="12" s="1"/>
  <c r="AI36" i="12"/>
  <c r="AO36" i="12" s="1"/>
  <c r="AK37" i="12"/>
  <c r="AQ37" i="12" s="1"/>
  <c r="AG39" i="12"/>
  <c r="AM39" i="12" s="1"/>
  <c r="AI40" i="12"/>
  <c r="AO40" i="12" s="1"/>
  <c r="AG24" i="12"/>
  <c r="AM24" i="12" s="1"/>
  <c r="AI25" i="12"/>
  <c r="AO25" i="12" s="1"/>
  <c r="AK26" i="12"/>
  <c r="AQ26" i="12" s="1"/>
  <c r="AG28" i="12"/>
  <c r="AM28" i="12" s="1"/>
  <c r="AI29" i="12"/>
  <c r="AO29" i="12" s="1"/>
  <c r="AK30" i="12"/>
  <c r="AQ30" i="12" s="1"/>
  <c r="AK32" i="12"/>
  <c r="AQ32" i="12" s="1"/>
  <c r="AG34" i="12"/>
  <c r="AM34" i="12" s="1"/>
  <c r="AI35" i="12"/>
  <c r="AO35" i="12" s="1"/>
  <c r="AK36" i="12"/>
  <c r="AQ36" i="12" s="1"/>
  <c r="AG38" i="12"/>
  <c r="AM38" i="12" s="1"/>
  <c r="AI39" i="12"/>
  <c r="AO39" i="12" s="1"/>
  <c r="AI31" i="12"/>
  <c r="AO31" i="12" s="1"/>
  <c r="AJ23" i="12"/>
  <c r="AP23" i="12" s="1"/>
  <c r="AH26" i="12"/>
  <c r="AN26" i="12" s="1"/>
  <c r="AL28" i="12"/>
  <c r="AR28" i="12" s="1"/>
  <c r="AJ31" i="12"/>
  <c r="AP31" i="12" s="1"/>
  <c r="AH34" i="12"/>
  <c r="AN34" i="12" s="1"/>
  <c r="AL36" i="12"/>
  <c r="AR36" i="12" s="1"/>
  <c r="AJ39" i="12"/>
  <c r="AP39" i="12" s="1"/>
  <c r="AG25" i="12"/>
  <c r="AM25" i="12" s="1"/>
  <c r="AI30" i="12"/>
  <c r="AO30" i="12" s="1"/>
  <c r="AK35" i="12"/>
  <c r="AQ35" i="12" s="1"/>
  <c r="AI23" i="12"/>
  <c r="AO23" i="12" s="1"/>
  <c r="AK28" i="12"/>
  <c r="AQ28" i="12" s="1"/>
  <c r="AK34" i="12"/>
  <c r="AQ34" i="12" s="1"/>
  <c r="AG40" i="12"/>
  <c r="AM40" i="12" s="1"/>
  <c r="AH24" i="12"/>
  <c r="AN24" i="12" s="1"/>
  <c r="AL26" i="12"/>
  <c r="AR26" i="12" s="1"/>
  <c r="AJ29" i="12"/>
  <c r="AP29" i="12" s="1"/>
  <c r="AH32" i="12"/>
  <c r="AN32" i="12" s="1"/>
  <c r="AL34" i="12"/>
  <c r="AR34" i="12" s="1"/>
  <c r="AJ37" i="12"/>
  <c r="AP37" i="12" s="1"/>
  <c r="AH40" i="12"/>
  <c r="AN40" i="12" s="1"/>
  <c r="AI26" i="12"/>
  <c r="AO26" i="12" s="1"/>
  <c r="AK31" i="12"/>
  <c r="AQ31" i="12" s="1"/>
  <c r="AG37" i="12"/>
  <c r="AM37" i="12" s="1"/>
  <c r="AK24" i="12"/>
  <c r="AQ24" i="12" s="1"/>
  <c r="AG30" i="12"/>
  <c r="AM30" i="12" s="1"/>
  <c r="AG36" i="12"/>
  <c r="AM36" i="12" s="1"/>
  <c r="AK40" i="12"/>
  <c r="AQ40" i="12" s="1"/>
  <c r="AH28" i="12"/>
  <c r="AN28" i="12" s="1"/>
  <c r="AJ33" i="12"/>
  <c r="AP33" i="12" s="1"/>
  <c r="AL38" i="12"/>
  <c r="AR38" i="12" s="1"/>
  <c r="AG29" i="12"/>
  <c r="AM29" i="12" s="1"/>
  <c r="AK39" i="12"/>
  <c r="AQ39" i="12" s="1"/>
  <c r="AI33" i="12"/>
  <c r="AO33" i="12" s="1"/>
  <c r="AL24" i="12"/>
  <c r="AR24" i="12" s="1"/>
  <c r="AJ27" i="12"/>
  <c r="AP27" i="12" s="1"/>
  <c r="AH30" i="12"/>
  <c r="AN30" i="12" s="1"/>
  <c r="AL32" i="12"/>
  <c r="AR32" i="12" s="1"/>
  <c r="AJ35" i="12"/>
  <c r="AP35" i="12" s="1"/>
  <c r="AH38" i="12"/>
  <c r="AN38" i="12" s="1"/>
  <c r="AL40" i="12"/>
  <c r="AR40" i="12" s="1"/>
  <c r="AK27" i="12"/>
  <c r="AQ27" i="12" s="1"/>
  <c r="AG33" i="12"/>
  <c r="AM33" i="12" s="1"/>
  <c r="AI38" i="12"/>
  <c r="AO38" i="12" s="1"/>
  <c r="AG26" i="12"/>
  <c r="AM26" i="12" s="1"/>
  <c r="AG32" i="12"/>
  <c r="AM32" i="12" s="1"/>
  <c r="AI37" i="12"/>
  <c r="AO37" i="12" s="1"/>
  <c r="AJ25" i="12"/>
  <c r="AP25" i="12" s="1"/>
  <c r="AL30" i="12"/>
  <c r="AR30" i="12" s="1"/>
  <c r="AH36" i="12"/>
  <c r="AN36" i="12" s="1"/>
  <c r="AK23" i="12"/>
  <c r="AQ23" i="12" s="1"/>
  <c r="AI34" i="12"/>
  <c r="AO34" i="12" s="1"/>
  <c r="AI27" i="12"/>
  <c r="AO27" i="12" s="1"/>
  <c r="AK38" i="12"/>
  <c r="AQ38" i="12" s="1"/>
  <c r="F51" i="15" a="1"/>
  <c r="F51" i="15" s="1"/>
  <c r="D51" i="15" a="1"/>
  <c r="D51" i="15" s="1"/>
  <c r="K24" i="4"/>
  <c r="M24" i="4" s="1"/>
  <c r="O24" i="4" s="1"/>
  <c r="G22" i="15" l="1"/>
  <c r="C22" i="15"/>
  <c r="E23" i="9"/>
  <c r="D23" i="9"/>
  <c r="J25" i="4"/>
  <c r="H25" i="4"/>
  <c r="L25" i="4"/>
  <c r="N25" i="4" s="1"/>
  <c r="P25" i="4" s="1"/>
  <c r="F50" i="12" a="1"/>
  <c r="F50" i="12" s="1"/>
  <c r="E50" i="12" a="1"/>
  <c r="E50" i="12" s="1"/>
  <c r="C50" i="12" a="1"/>
  <c r="C50" i="12" s="1"/>
  <c r="D50" i="12" a="1"/>
  <c r="D50" i="12" s="1"/>
  <c r="D22" i="12" s="1"/>
  <c r="B50" i="12" a="1"/>
  <c r="B50" i="12" s="1"/>
  <c r="D22" i="15"/>
  <c r="A23" i="14"/>
  <c r="B22" i="14"/>
  <c r="D22" i="14" s="1"/>
  <c r="I25" i="4"/>
  <c r="C23" i="9"/>
  <c r="N24" i="4"/>
  <c r="P24" i="4" s="1"/>
  <c r="E49" i="12" a="1"/>
  <c r="E49" i="12" s="1"/>
  <c r="F49" i="12" a="1"/>
  <c r="F49" i="12" s="1"/>
  <c r="D49" i="12" a="1"/>
  <c r="D49" i="12" s="1"/>
  <c r="C49" i="12" a="1"/>
  <c r="C49" i="12" s="1"/>
  <c r="F22" i="15"/>
  <c r="B26" i="4"/>
  <c r="G26" i="4"/>
  <c r="A27" i="4"/>
  <c r="I26" i="4"/>
  <c r="K26" i="4"/>
  <c r="B23" i="9"/>
  <c r="F23" i="9"/>
  <c r="B49" i="12" a="1"/>
  <c r="B49" i="12" s="1"/>
  <c r="C9" i="15" a="1"/>
  <c r="C21" i="14"/>
  <c r="E21" i="14" s="1"/>
  <c r="G21" i="14" s="1"/>
  <c r="F21" i="14"/>
  <c r="K25" i="4"/>
  <c r="C9" i="15" l="1"/>
  <c r="E17" i="15" s="1"/>
  <c r="B10" i="9" a="1"/>
  <c r="B10" i="9" s="1"/>
  <c r="F18" i="9" s="1"/>
  <c r="F17" i="12" s="1"/>
  <c r="B23" i="14"/>
  <c r="D23" i="14" s="1"/>
  <c r="A24" i="14"/>
  <c r="C22" i="12"/>
  <c r="C22" i="14"/>
  <c r="E22" i="14" s="1"/>
  <c r="F22" i="14"/>
  <c r="M25" i="4"/>
  <c r="O25" i="4" s="1"/>
  <c r="L26" i="4"/>
  <c r="H26" i="4"/>
  <c r="J26" i="4"/>
  <c r="E22" i="12"/>
  <c r="B27" i="4"/>
  <c r="A28" i="4"/>
  <c r="B22" i="12"/>
  <c r="F22" i="12"/>
  <c r="F17" i="15" l="1"/>
  <c r="D17" i="15"/>
  <c r="C17" i="15"/>
  <c r="G17" i="15"/>
  <c r="B18" i="9"/>
  <c r="B17" i="12" s="1"/>
  <c r="C18" i="9"/>
  <c r="C17" i="12" s="1"/>
  <c r="L27" i="4"/>
  <c r="J27" i="4"/>
  <c r="H27" i="4"/>
  <c r="B9" i="12" a="1"/>
  <c r="B9" i="12" s="1"/>
  <c r="G27" i="4"/>
  <c r="I27" i="4"/>
  <c r="F23" i="14"/>
  <c r="C23" i="14"/>
  <c r="E23" i="14" s="1"/>
  <c r="G23" i="14" s="1"/>
  <c r="A29" i="4"/>
  <c r="G28" i="4"/>
  <c r="B28" i="4"/>
  <c r="I28" i="4" s="1"/>
  <c r="N26" i="4"/>
  <c r="P26" i="4" s="1"/>
  <c r="A25" i="14"/>
  <c r="B24" i="14"/>
  <c r="D24" i="14" s="1"/>
  <c r="K27" i="4"/>
  <c r="M27" i="4" s="1"/>
  <c r="O27" i="4" s="1"/>
  <c r="M26" i="4"/>
  <c r="O26" i="4" s="1"/>
  <c r="G22" i="14"/>
  <c r="E18" i="9"/>
  <c r="E17" i="12" s="1"/>
  <c r="D18" i="9"/>
  <c r="D17" i="12" s="1"/>
  <c r="F24" i="14" l="1"/>
  <c r="C24" i="14"/>
  <c r="E24" i="14" s="1"/>
  <c r="G24" i="14" s="1"/>
  <c r="A30" i="4"/>
  <c r="B29" i="4"/>
  <c r="K29" i="4" s="1"/>
  <c r="B25" i="14"/>
  <c r="A26" i="14"/>
  <c r="H28" i="4"/>
  <c r="J28" i="4"/>
  <c r="L28" i="4"/>
  <c r="K28" i="4"/>
  <c r="M28" i="4" s="1"/>
  <c r="O28" i="4" s="1"/>
  <c r="N27" i="4"/>
  <c r="P27" i="4" s="1"/>
  <c r="B30" i="4" l="1"/>
  <c r="K30" i="4"/>
  <c r="I30" i="4"/>
  <c r="G30" i="4"/>
  <c r="N28" i="4"/>
  <c r="P28" i="4" s="1"/>
  <c r="B26" i="14"/>
  <c r="D26" i="14"/>
  <c r="A27" i="14"/>
  <c r="G29" i="4"/>
  <c r="M29" i="4" s="1"/>
  <c r="O29" i="4" s="1"/>
  <c r="C25" i="14"/>
  <c r="E25" i="14" s="1"/>
  <c r="H29" i="4"/>
  <c r="L29" i="4"/>
  <c r="N29" i="4" s="1"/>
  <c r="P29" i="4" s="1"/>
  <c r="J29" i="4"/>
  <c r="D25" i="14"/>
  <c r="F25" i="14" s="1"/>
  <c r="I29" i="4"/>
  <c r="F26" i="14" l="1"/>
  <c r="C26" i="14"/>
  <c r="E26" i="14" s="1"/>
  <c r="G26" i="14" s="1"/>
  <c r="D27" i="14"/>
  <c r="A28" i="14"/>
  <c r="B27" i="14"/>
  <c r="J30" i="4"/>
  <c r="L30" i="4"/>
  <c r="N30" i="4" s="1"/>
  <c r="P30" i="4" s="1"/>
  <c r="H30" i="4"/>
  <c r="G25" i="14"/>
  <c r="C27" i="14" l="1"/>
  <c r="E27" i="14" s="1"/>
  <c r="F27" i="14"/>
  <c r="M30" i="4"/>
  <c r="O30" i="4" s="1"/>
  <c r="B28" i="14"/>
  <c r="A29" i="14"/>
  <c r="C28" i="14" l="1"/>
  <c r="E28" i="14" s="1"/>
  <c r="A30" i="14"/>
  <c r="B29" i="14"/>
  <c r="D28" i="14"/>
  <c r="F28" i="14" s="1"/>
  <c r="G27" i="14"/>
  <c r="C29" i="14" l="1"/>
  <c r="E29" i="14" s="1"/>
  <c r="B30" i="14"/>
  <c r="D30" i="14"/>
  <c r="D29" i="14"/>
  <c r="F29" i="14" s="1"/>
  <c r="G28" i="14"/>
  <c r="C30" i="14" l="1"/>
  <c r="E30" i="14" s="1"/>
  <c r="F30" i="14"/>
  <c r="G2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Lira</author>
  </authors>
  <commentList>
    <comment ref="P31" authorId="0" shapeId="0" xr:uid="{00000000-0006-0000-0200-000001000000}">
      <text>
        <r>
          <rPr>
            <sz val="8"/>
            <color indexed="81"/>
            <rFont val="Tahoma"/>
            <family val="2"/>
          </rPr>
          <t>Bubble temperatures can be found across the composition range using Solver by setting this to zero and adjusting B30:O30</t>
        </r>
      </text>
    </comment>
    <comment ref="J47" authorId="0" shapeId="0" xr:uid="{00000000-0006-0000-0200-000002000000}">
      <text>
        <r>
          <rPr>
            <sz val="8"/>
            <color indexed="81"/>
            <rFont val="Tahoma"/>
            <family val="2"/>
          </rPr>
          <t>First, set this to 331.3 (close to azeotrope T and composition), then adjust kij until cell J48 = 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8" authorId="0" shapeId="0" xr:uid="{00000000-0006-0000-0200-000003000000}">
      <text>
        <r>
          <rPr>
            <sz val="8"/>
            <color indexed="81"/>
            <rFont val="Tahoma"/>
            <family val="2"/>
          </rPr>
          <t>Then, use Solver to adjust B47:O47 to calc bubble T's.</t>
        </r>
      </text>
    </comment>
    <comment ref="H54" authorId="0" shapeId="0" xr:uid="{00000000-0006-0000-0200-000004000000}">
      <text>
        <r>
          <rPr>
            <sz val="8"/>
            <color indexed="81"/>
            <rFont val="Tahoma"/>
            <family val="2"/>
          </rPr>
          <t>These values are calculated from the activitiy coefficient and composition values at the azeotrope.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4" authorId="0" shapeId="0" xr:uid="{00000000-0006-0000-0200-000005000000}">
      <text>
        <r>
          <rPr>
            <sz val="8"/>
            <color indexed="81"/>
            <rFont val="Tahoma"/>
            <family val="2"/>
          </rPr>
          <t>After determining the A12 and A21, the bubble temperatures are calculated across the composition range as before.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Lira</author>
  </authors>
  <commentList>
    <comment ref="C9" authorId="0" shapeId="0" xr:uid="{00000000-0006-0000-0700-000001000000}">
      <text>
        <r>
          <rPr>
            <sz val="8"/>
            <color indexed="81"/>
            <rFont val="Tahoma"/>
            <family val="2"/>
          </rPr>
          <t>As distributed, this cell has a formula to calculate the bubble pressure.</t>
        </r>
      </text>
    </comment>
    <comment ref="G13" authorId="0" shapeId="0" xr:uid="{00000000-0006-0000-0700-000002000000}">
      <text>
        <r>
          <rPr>
            <sz val="8"/>
            <color indexed="81"/>
            <rFont val="Tahoma"/>
            <family val="2"/>
          </rPr>
          <t>Enter Antoine constants or vapor pressures if you want bubble P and vapor phase concentrations calculated automatically.</t>
        </r>
      </text>
    </comment>
    <comment ref="G17" authorId="0" shapeId="0" xr:uid="{00000000-0006-0000-0700-000003000000}">
      <text>
        <r>
          <rPr>
            <sz val="8"/>
            <color indexed="81"/>
            <rFont val="Tahoma"/>
            <family val="2"/>
          </rPr>
          <t>Vapor phase mole fractions calculated automatically.</t>
        </r>
      </text>
    </comment>
    <comment ref="G21" authorId="0" shapeId="0" xr:uid="{00000000-0006-0000-0700-000004000000}">
      <text>
        <r>
          <rPr>
            <sz val="8"/>
            <color indexed="81"/>
            <rFont val="Tahoma"/>
            <family val="2"/>
          </rPr>
          <t>Liquid phase mole fractions. Enter a very small number like 1E-20 or smaller for absent compounds - don't use zero.</t>
        </r>
      </text>
    </comment>
    <comment ref="A23" authorId="0" shapeId="0" xr:uid="{00000000-0006-0000-0700-000005000000}">
      <text>
        <r>
          <rPr>
            <sz val="8"/>
            <color indexed="81"/>
            <rFont val="Tahoma"/>
            <family val="2"/>
          </rPr>
          <t>The sub-groups available in this table may be changed in this column by changing the SubGroup number. If you change a sub-group here, be sure to edit the component structure information in the table. Available subgroups and subgroup numbers are in Table 2 of sheet "aij-UNIFAC (VLE)".</t>
        </r>
      </text>
    </comment>
    <comment ref="G23" authorId="0" shapeId="0" xr:uid="{00000000-0006-0000-0700-000006000000}">
      <text>
        <r>
          <rPr>
            <sz val="8"/>
            <color indexed="81"/>
            <rFont val="Tahoma"/>
            <family val="2"/>
          </rPr>
          <t xml:space="preserve">Enter the number of occurences of a chemical structure in this table for each component. Residual group interaction parameters are not available for all groups, and </t>
        </r>
        <r>
          <rPr>
            <b/>
            <sz val="8"/>
            <color indexed="81"/>
            <rFont val="Tahoma"/>
            <family val="2"/>
          </rPr>
          <t>are treated as zero if unavailable</t>
        </r>
        <r>
          <rPr>
            <sz val="8"/>
            <color indexed="81"/>
            <rFont val="Tahoma"/>
            <family val="2"/>
          </rPr>
          <t>. Check Table 1 on sheet "aij-UNIFAC (VLE)".</t>
        </r>
      </text>
    </comment>
    <comment ref="G45" authorId="0" shapeId="0" xr:uid="{00000000-0006-0000-0700-000007000000}">
      <text>
        <r>
          <rPr>
            <sz val="8"/>
            <color indexed="81"/>
            <rFont val="Tahoma"/>
            <family val="2"/>
          </rPr>
          <t>Note that columns H:AS are hidden. They contain intermediate calculations. Unprotect the sheet and unhide them to see the calculations.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Lira</author>
  </authors>
  <commentList>
    <comment ref="AU8" authorId="0" shapeId="0" xr:uid="{00000000-0006-0000-0900-000001000000}">
      <text>
        <r>
          <rPr>
            <sz val="8"/>
            <color indexed="81"/>
            <rFont val="Tahoma"/>
            <family val="2"/>
          </rPr>
          <t>This sheet does not yet have the cabability for specification of other functional groups without editing "aij-UNIFAC (LLE)". That will be provided in the future.</t>
        </r>
      </text>
    </comment>
  </commentList>
</comments>
</file>

<file path=xl/sharedStrings.xml><?xml version="1.0" encoding="utf-8"?>
<sst xmlns="http://schemas.openxmlformats.org/spreadsheetml/2006/main" count="554" uniqueCount="352">
  <si>
    <t>ACTCOEFF.XLS</t>
  </si>
  <si>
    <t>This workbook will calculate activities, activity coefficients, and excess Gibbs energies</t>
  </si>
  <si>
    <t xml:space="preserve">for several activity models. </t>
  </si>
  <si>
    <t>Margules</t>
  </si>
  <si>
    <t>Worksheet using the Margules equation with two adjustable parameters.</t>
  </si>
  <si>
    <t xml:space="preserve">Regular     </t>
  </si>
  <si>
    <t xml:space="preserve">A spreadsheet to calculate VLE for methanol + benzene </t>
  </si>
  <si>
    <t>using van Laar and Scatchard/Hildbrand theory.</t>
  </si>
  <si>
    <t>UNIQUAC</t>
  </si>
  <si>
    <t>A spreadsheet to use with the binary UNIQUAC activity coefficient model.</t>
  </si>
  <si>
    <t>UNIQUAC5</t>
  </si>
  <si>
    <t>A spreadsheet to use UNIQUAC with up to 5 components.</t>
  </si>
  <si>
    <t>UNIFAC (VLE)</t>
  </si>
  <si>
    <t xml:space="preserve">A spreadsheet to use with the UNIFAC activity coefficient model </t>
  </si>
  <si>
    <t>for VLE for up to 5 components.</t>
  </si>
  <si>
    <t>aij-UNIFAC (VLE)</t>
  </si>
  <si>
    <t>Database of parameters used by UNIFAC for VLE.</t>
  </si>
  <si>
    <t>for LLE for up to 5 components.</t>
  </si>
  <si>
    <t>aij-UNIFAC (LLE)</t>
  </si>
  <si>
    <t>Database of parameters used by UNIFAC for LLE.</t>
  </si>
  <si>
    <t>LLE</t>
  </si>
  <si>
    <t>Liquid + Liquid equilibria: Water + MEK example used in the text.</t>
  </si>
  <si>
    <t>Worksheets are protected. Values in blue may be changed without unlocking the spreadsheet, which will</t>
  </si>
  <si>
    <t>permit most common calculations.</t>
  </si>
  <si>
    <t>www.egr.msu.edu/~lira/thermtxt.htm</t>
  </si>
  <si>
    <t>Margules Equation</t>
  </si>
  <si>
    <r>
      <t>G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>/RT = x</t>
    </r>
    <r>
      <rPr>
        <vertAlign val="subscript"/>
        <sz val="8.5"/>
        <rFont val="Arial"/>
        <family val="2"/>
      </rPr>
      <t xml:space="preserve">1 </t>
    </r>
    <r>
      <rPr>
        <sz val="10"/>
        <rFont val="Arial"/>
        <family val="2"/>
      </rPr>
      <t>x</t>
    </r>
    <r>
      <rPr>
        <vertAlign val="subscript"/>
        <sz val="8.5"/>
        <rFont val="Arial"/>
        <family val="2"/>
      </rPr>
      <t xml:space="preserve">2 </t>
    </r>
    <r>
      <rPr>
        <sz val="10"/>
        <rFont val="Arial"/>
        <family val="2"/>
      </rPr>
      <t>( A</t>
    </r>
    <r>
      <rPr>
        <vertAlign val="subscript"/>
        <sz val="10"/>
        <rFont val="Arial"/>
        <family val="2"/>
      </rPr>
      <t xml:space="preserve">21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 xml:space="preserve">12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)</t>
    </r>
  </si>
  <si>
    <t>Table x1 increment</t>
  </si>
  <si>
    <t>x1</t>
  </si>
  <si>
    <t>x2</t>
  </si>
  <si>
    <t>gamma1</t>
  </si>
  <si>
    <t>gamma2</t>
  </si>
  <si>
    <t>activity1</t>
  </si>
  <si>
    <t>activity2</t>
  </si>
  <si>
    <t>G(mix) /RT</t>
  </si>
  <si>
    <t xml:space="preserve">illustrated below is the methanol+benzene system.  The bubble temperatures are computed </t>
  </si>
  <si>
    <t>by setting the target y1+y2=1 by changing the estimated temperature.  This is repeated</t>
  </si>
  <si>
    <t>for each composition for each model.</t>
  </si>
  <si>
    <t>T(K)</t>
  </si>
  <si>
    <t>UNIQUAC Calculation</t>
  </si>
  <si>
    <t xml:space="preserve">Note: This spreadsheet uses the form of equations that permits the q of the residual part to differ from q </t>
  </si>
  <si>
    <t xml:space="preserve">of the combinatorial part. (Anderson, T.F., Prausnitz, J.,M., Ind. Eng. Chem. Process Des. Dev. 17, 1978, 552-561). </t>
  </si>
  <si>
    <t>are consistent with the method described in the text if the user sets q'=q.</t>
  </si>
  <si>
    <t>r</t>
  </si>
  <si>
    <t>q</t>
  </si>
  <si>
    <t>q'</t>
  </si>
  <si>
    <t>l</t>
  </si>
  <si>
    <t>l-(r/r)l</t>
  </si>
  <si>
    <t>a12</t>
  </si>
  <si>
    <t>a21</t>
  </si>
  <si>
    <r>
      <t>x</t>
    </r>
    <r>
      <rPr>
        <vertAlign val="subscript"/>
        <sz val="10"/>
        <rFont val="Arial"/>
        <family val="2"/>
      </rPr>
      <t>1</t>
    </r>
  </si>
  <si>
    <r>
      <t>x</t>
    </r>
    <r>
      <rPr>
        <vertAlign val="subscript"/>
        <sz val="10"/>
        <rFont val="Arial"/>
        <family val="2"/>
      </rPr>
      <t>2</t>
    </r>
  </si>
  <si>
    <t>T(C)</t>
  </si>
  <si>
    <t>tau12</t>
  </si>
  <si>
    <t>tau21</t>
  </si>
  <si>
    <t>theta1</t>
  </si>
  <si>
    <t>theta2</t>
  </si>
  <si>
    <t>theta'1</t>
  </si>
  <si>
    <t>theta'2</t>
  </si>
  <si>
    <t>phi1</t>
  </si>
  <si>
    <t>phi2</t>
  </si>
  <si>
    <t>ln(gam1)</t>
  </si>
  <si>
    <t>ln(gam2)</t>
  </si>
  <si>
    <t>gam1</t>
  </si>
  <si>
    <t>gam2</t>
  </si>
  <si>
    <t>Table for LLE as described in text.</t>
  </si>
  <si>
    <t>This spreadsheet is constructed to calculate activity coefficients for up to 5 components</t>
  </si>
  <si>
    <t>Can be used for binary or ternary.</t>
  </si>
  <si>
    <t>Follow text instructions to create macro</t>
  </si>
  <si>
    <r>
      <t>Enter T, component names,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's, r, q, and composition values.</t>
    </r>
  </si>
  <si>
    <t>Scroll right for LLE iteration table.</t>
  </si>
  <si>
    <t>Unhide columns G-R for LLE iterations.</t>
  </si>
  <si>
    <r>
      <t>K</t>
    </r>
    <r>
      <rPr>
        <vertAlign val="subscript"/>
        <sz val="10"/>
        <rFont val="Arial"/>
        <family val="2"/>
      </rPr>
      <t>i,old</t>
    </r>
  </si>
  <si>
    <t>T (K) =</t>
  </si>
  <si>
    <r>
      <t xml:space="preserve">Phase </t>
    </r>
    <r>
      <rPr>
        <sz val="10"/>
        <rFont val="Symbol"/>
        <family val="1"/>
        <charset val="2"/>
      </rPr>
      <t>a</t>
    </r>
  </si>
  <si>
    <r>
      <t xml:space="preserve">Phase </t>
    </r>
    <r>
      <rPr>
        <sz val="10"/>
        <rFont val="Symbol"/>
        <family val="1"/>
        <charset val="2"/>
      </rPr>
      <t>b</t>
    </r>
  </si>
  <si>
    <r>
      <t>K</t>
    </r>
    <r>
      <rPr>
        <vertAlign val="subscript"/>
        <sz val="10"/>
        <rFont val="Arial"/>
        <family val="2"/>
      </rPr>
      <t>i,new</t>
    </r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</si>
  <si>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i,old</t>
    </r>
  </si>
  <si>
    <t>Name</t>
  </si>
  <si>
    <t>Water</t>
  </si>
  <si>
    <t>MEK</t>
  </si>
  <si>
    <t>Acetic</t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</si>
  <si>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i,new</t>
    </r>
  </si>
  <si>
    <t>x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</si>
  <si>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i,old</t>
    </r>
  </si>
  <si>
    <t>g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</si>
  <si>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i,new</t>
    </r>
  </si>
  <si>
    <r>
      <t>x</t>
    </r>
    <r>
      <rPr>
        <sz val="10"/>
        <rFont val="Symbol"/>
        <family val="1"/>
        <charset val="2"/>
      </rPr>
      <t>g</t>
    </r>
  </si>
  <si>
    <t xml:space="preserve">To avoid having the screen jump to follow the </t>
  </si>
  <si>
    <t>cursor during macro execution, just hide ALL</t>
  </si>
  <si>
    <t>F</t>
  </si>
  <si>
    <t>of the columns that contain the activity coefficient</t>
  </si>
  <si>
    <t>calculations before executing the macro.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</si>
  <si>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r</t>
    </r>
    <r>
      <rPr>
        <vertAlign val="subscript"/>
        <sz val="10"/>
        <rFont val="Arial"/>
        <family val="2"/>
      </rPr>
      <t>i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</si>
  <si>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q</t>
    </r>
    <r>
      <rPr>
        <vertAlign val="subscript"/>
        <sz val="10"/>
        <rFont val="Arial"/>
        <family val="2"/>
      </rPr>
      <t>i</t>
    </r>
  </si>
  <si>
    <r>
      <t>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j=column), enter 0's for unused cells</t>
    </r>
  </si>
  <si>
    <t xml:space="preserve">Note: to minimize the possibility of errors, all of the pure component </t>
  </si>
  <si>
    <t>and binary parameters are taken from the tables on the left.</t>
  </si>
  <si>
    <t>There is only one place to enter pure component or binary parameters.</t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</si>
  <si>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</si>
  <si>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comb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</si>
  <si>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</si>
  <si>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</si>
  <si>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</si>
  <si>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resid</t>
    </r>
    <r>
      <rPr>
        <sz val="10"/>
        <rFont val="Arial"/>
        <family val="2"/>
      </rPr>
      <t>)</t>
    </r>
  </si>
  <si>
    <t>ZOOM in to see subscripts clearly, the i's and j's look the same when the font is small.</t>
  </si>
  <si>
    <t>Instructions:  Type the temperature of interest in centigrade.  Then enter the number</t>
  </si>
  <si>
    <t>of occurences of each functional group in each component.  If you have less than 5</t>
  </si>
  <si>
    <t xml:space="preserve">the pressure to be computed automatically, you must enter the Antoine coefficients of </t>
  </si>
  <si>
    <t>the components. To use different functional groups than those provided,</t>
  </si>
  <si>
    <t>follow the instructions on the aij-UNIFAC sheet.</t>
  </si>
  <si>
    <t>Note:</t>
  </si>
  <si>
    <t xml:space="preserve">hidden </t>
  </si>
  <si>
    <t>P=</t>
  </si>
  <si>
    <t>mmHg</t>
  </si>
  <si>
    <t>columns with -&gt;</t>
  </si>
  <si>
    <t>&lt;-</t>
  </si>
  <si>
    <r>
      <t>o</t>
    </r>
    <r>
      <rPr>
        <sz val="10"/>
        <rFont val="Arial"/>
        <family val="2"/>
      </rPr>
      <t>C</t>
    </r>
  </si>
  <si>
    <t>intermediate calcs</t>
  </si>
  <si>
    <r>
      <t>Antoine Coefficients (mmHg) log10(P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)=A-B/(T+C) where T[=] 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</si>
  <si>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>comp1</t>
  </si>
  <si>
    <t>comp2</t>
  </si>
  <si>
    <t>comp3</t>
  </si>
  <si>
    <t>comp4</t>
  </si>
  <si>
    <t>comp5</t>
  </si>
  <si>
    <t xml:space="preserve">A </t>
  </si>
  <si>
    <t>B</t>
  </si>
  <si>
    <t>C</t>
  </si>
  <si>
    <r>
      <t>P</t>
    </r>
    <r>
      <rPr>
        <vertAlign val="superscript"/>
        <sz val="8"/>
        <rFont val="Arial"/>
        <family val="2"/>
      </rPr>
      <t>sat</t>
    </r>
    <r>
      <rPr>
        <sz val="8"/>
        <rFont val="Arial"/>
        <family val="2"/>
      </rPr>
      <t>[mmHg]</t>
    </r>
  </si>
  <si>
    <r>
      <t>y</t>
    </r>
    <r>
      <rPr>
        <vertAlign val="subscript"/>
        <sz val="8"/>
        <rFont val="Arial"/>
        <family val="2"/>
      </rPr>
      <t>i</t>
    </r>
  </si>
  <si>
    <t>EtOH</t>
  </si>
  <si>
    <t>C5H12</t>
  </si>
  <si>
    <r>
      <t>X</t>
    </r>
    <r>
      <rPr>
        <vertAlign val="subscript"/>
        <sz val="8"/>
        <rFont val="Arial"/>
        <family val="2"/>
      </rPr>
      <t>i</t>
    </r>
  </si>
  <si>
    <t>Q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</si>
  <si>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</si>
  <si>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sz val="10"/>
        <rFont val="Arial"/>
        <family val="2"/>
      </rPr>
      <t>j</t>
    </r>
    <r>
      <rPr>
        <sz val="10"/>
        <rFont val="Symbol"/>
        <family val="1"/>
        <charset val="2"/>
      </rPr>
      <t>/S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</si>
  <si>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</si>
  <si>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 xml:space="preserve">ln </t>
    </r>
    <r>
      <rPr>
        <sz val="8"/>
        <rFont val="Symbol"/>
        <family val="1"/>
        <charset val="2"/>
      </rPr>
      <t>G</t>
    </r>
  </si>
  <si>
    <r>
      <t>g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</si>
  <si>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j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</si>
  <si>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t>mix</t>
  </si>
  <si>
    <r>
      <t>S</t>
    </r>
    <r>
      <rPr>
        <vertAlign val="subscript"/>
        <sz val="8"/>
        <rFont val="Arial"/>
        <family val="2"/>
      </rPr>
      <t>k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k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</si>
  <si>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Q</t>
    </r>
    <r>
      <rPr>
        <vertAlign val="subscript"/>
        <sz val="8"/>
        <rFont val="Arial"/>
        <family val="2"/>
      </rPr>
      <t>i</t>
    </r>
  </si>
  <si>
    <t>N groups</t>
  </si>
  <si>
    <r>
      <t>q</t>
    </r>
    <r>
      <rPr>
        <vertAlign val="subscript"/>
        <sz val="8"/>
        <rFont val="Arial"/>
        <family val="2"/>
      </rPr>
      <t>i</t>
    </r>
  </si>
  <si>
    <r>
      <t>F</t>
    </r>
    <r>
      <rPr>
        <vertAlign val="subscript"/>
        <sz val="8"/>
        <rFont val="Arial"/>
        <family val="2"/>
      </rPr>
      <t>i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</si>
  <si>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C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</si>
  <si>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Ro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</si>
  <si>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</t>
    </r>
  </si>
  <si>
    <t>benzene</t>
  </si>
  <si>
    <t>A</t>
  </si>
  <si>
    <t>To change functional groups, trade for one of the functional groups listed unless you want to reprogram.</t>
  </si>
  <si>
    <t>For a new main group, carefully replace all entries for the row and column associated with the new group. You must unprotect</t>
  </si>
  <si>
    <t>the sheet, and then change only the values in blue.</t>
  </si>
  <si>
    <t>T=</t>
  </si>
  <si>
    <r>
      <t>a</t>
    </r>
    <r>
      <rPr>
        <i/>
        <vertAlign val="subscript"/>
        <sz val="12"/>
        <rFont val="Arial"/>
        <family val="2"/>
      </rPr>
      <t>ij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(i=column, j=row)</t>
    </r>
  </si>
  <si>
    <t>Main</t>
  </si>
  <si>
    <t>Group</t>
  </si>
  <si>
    <t>R</t>
  </si>
  <si>
    <t>CH3</t>
  </si>
  <si>
    <t>CH2</t>
  </si>
  <si>
    <t>CH</t>
  </si>
  <si>
    <t>ACH</t>
  </si>
  <si>
    <t>ACCH2</t>
  </si>
  <si>
    <t>ACCH3</t>
  </si>
  <si>
    <t>OH</t>
  </si>
  <si>
    <t>MeOH</t>
  </si>
  <si>
    <t>H2O</t>
  </si>
  <si>
    <t>ACOH</t>
  </si>
  <si>
    <t>CH3CO</t>
  </si>
  <si>
    <t>CHO</t>
  </si>
  <si>
    <t>CH3COO</t>
  </si>
  <si>
    <t>ACNH2</t>
  </si>
  <si>
    <t>COOH</t>
  </si>
  <si>
    <t>CCL3</t>
  </si>
  <si>
    <r>
      <t>Y</t>
    </r>
    <r>
      <rPr>
        <sz val="8"/>
        <rFont val="Arial"/>
        <family val="2"/>
      </rPr>
      <t xml:space="preserve"> </t>
    </r>
  </si>
  <si>
    <t>T(oC)=</t>
  </si>
  <si>
    <t>These parameters are used for the spreadsheet UNIFAC (LLE)</t>
  </si>
  <si>
    <r>
      <t xml:space="preserve">If you want to use a different subgroup, you may just change the R and Q parameters, and leave the </t>
    </r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ij</t>
    </r>
    <r>
      <rPr>
        <sz val="10"/>
        <rFont val="Arial"/>
        <family val="2"/>
      </rPr>
      <t>matrix.</t>
    </r>
  </si>
  <si>
    <t xml:space="preserve">Parameters from T. Magnussen, P. Rasmussen, A. Fredenslund, </t>
  </si>
  <si>
    <r>
      <t xml:space="preserve">Ind. Eng. Chem. Process Des. Dev., </t>
    </r>
    <r>
      <rPr>
        <sz val="10"/>
        <rFont val="Arial"/>
        <family val="2"/>
      </rPr>
      <t>1981, 20, 331-339.</t>
    </r>
  </si>
  <si>
    <t>NOTE: Blank cells mean value is unavailable</t>
  </si>
  <si>
    <t>CH2O</t>
  </si>
  <si>
    <t>CHCL2</t>
  </si>
  <si>
    <t>Water(1)+mek(2) at 298K by UNIFAC (cf Arce, JCEDat,40:226)</t>
  </si>
  <si>
    <t>Summary of calculations for Example in Textbook</t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</si>
  <si>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mix</t>
    </r>
    <r>
      <rPr>
        <sz val="10"/>
        <rFont val="Arial"/>
        <family val="2"/>
      </rPr>
      <t>/RT</t>
    </r>
  </si>
  <si>
    <r>
      <t>g</t>
    </r>
    <r>
      <rPr>
        <sz val="10"/>
        <rFont val="Arial"/>
        <family val="2"/>
      </rPr>
      <t>w</t>
    </r>
  </si>
  <si>
    <r>
      <t>g</t>
    </r>
    <r>
      <rPr>
        <sz val="10"/>
        <rFont val="Arial"/>
        <family val="2"/>
      </rPr>
      <t>mek</t>
    </r>
  </si>
  <si>
    <r>
      <t>g</t>
    </r>
    <r>
      <rPr>
        <sz val="10"/>
        <rFont val="Arial"/>
        <family val="2"/>
      </rPr>
      <t>w*xw</t>
    </r>
  </si>
  <si>
    <r>
      <t>g</t>
    </r>
    <r>
      <rPr>
        <sz val="10"/>
        <rFont val="Arial"/>
        <family val="2"/>
      </rPr>
      <t>mek*xmek</t>
    </r>
  </si>
  <si>
    <t>Coexistence calculation</t>
  </si>
  <si>
    <t>Pure Component Data</t>
  </si>
  <si>
    <t>Antoine Coeff</t>
  </si>
  <si>
    <t>T (C)</t>
  </si>
  <si>
    <r>
      <t>V</t>
    </r>
    <r>
      <rPr>
        <vertAlign val="superscript"/>
        <sz val="10"/>
        <rFont val="Arial"/>
        <family val="2"/>
      </rPr>
      <t>L</t>
    </r>
    <r>
      <rPr>
        <sz val="10"/>
        <rFont val="Arial"/>
        <family val="2"/>
      </rPr>
      <t xml:space="preserve"> (cm3/mol)</t>
    </r>
  </si>
  <si>
    <r>
      <t xml:space="preserve">d </t>
    </r>
    <r>
      <rPr>
        <sz val="10"/>
        <rFont val="Arial"/>
        <family val="2"/>
      </rPr>
      <t>(cal/cm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</si>
  <si>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y</t>
    </r>
    <r>
      <rPr>
        <vertAlign val="subscript"/>
        <sz val="10"/>
        <rFont val="Arial"/>
        <family val="2"/>
      </rPr>
      <t>1</t>
    </r>
  </si>
  <si>
    <r>
      <t>g1</t>
    </r>
    <r>
      <rPr>
        <sz val="10"/>
        <rFont val="Arial"/>
        <family val="2"/>
      </rPr>
      <t>*x1</t>
    </r>
  </si>
  <si>
    <r>
      <t>g2</t>
    </r>
    <r>
      <rPr>
        <sz val="10"/>
        <rFont val="Arial"/>
        <family val="2"/>
      </rPr>
      <t>*x2</t>
    </r>
  </si>
  <si>
    <r>
      <t>Dg</t>
    </r>
    <r>
      <rPr>
        <sz val="10"/>
        <rFont val="Arial"/>
        <family val="2"/>
      </rPr>
      <t>*x</t>
    </r>
  </si>
  <si>
    <t>Calculations based on data</t>
  </si>
  <si>
    <r>
      <t>F</t>
    </r>
    <r>
      <rPr>
        <vertAlign val="subscript"/>
        <sz val="10"/>
        <rFont val="Arial"/>
        <family val="2"/>
      </rPr>
      <t>1</t>
    </r>
  </si>
  <si>
    <r>
      <t>P</t>
    </r>
    <r>
      <rPr>
        <vertAlign val="sub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sat</t>
    </r>
  </si>
  <si>
    <r>
      <t>g</t>
    </r>
    <r>
      <rPr>
        <vertAlign val="subscript"/>
        <sz val="10"/>
        <rFont val="Arial"/>
        <family val="2"/>
      </rPr>
      <t>1</t>
    </r>
  </si>
  <si>
    <r>
      <t>g</t>
    </r>
    <r>
      <rPr>
        <vertAlign val="subscript"/>
        <sz val="10"/>
        <rFont val="Arial"/>
        <family val="2"/>
      </rPr>
      <t>2</t>
    </r>
  </si>
  <si>
    <r>
      <t>P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sat</t>
    </r>
  </si>
  <si>
    <t>P =</t>
  </si>
  <si>
    <t>mm Hg</t>
  </si>
  <si>
    <t>OBJ</t>
  </si>
  <si>
    <t>&lt;----- LLE region ---&gt;</t>
  </si>
  <si>
    <t>|</t>
  </si>
  <si>
    <t>The cross-overs in the above diagram are indicative</t>
  </si>
  <si>
    <t xml:space="preserve">of LLE. The points represent experimental data. </t>
  </si>
  <si>
    <t>An interaction parameter is necessary to fit the data</t>
  </si>
  <si>
    <t>without predicting LLE.</t>
  </si>
  <si>
    <r>
      <t>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y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-1)</t>
    </r>
    <r>
      <rPr>
        <vertAlign val="superscript"/>
        <sz val="10"/>
        <rFont val="Arial"/>
        <family val="2"/>
      </rPr>
      <t>2</t>
    </r>
  </si>
  <si>
    <t>Scatchard-Hildebrand model with binary interaction coefficient kij=</t>
  </si>
  <si>
    <t>Scatchard-Hildebrand model with zero binary interaction coefficient (x's from above) see plot ----&gt;</t>
  </si>
  <si>
    <r>
      <t>A</t>
    </r>
    <r>
      <rPr>
        <vertAlign val="subscript"/>
        <sz val="10"/>
        <rFont val="Arial"/>
        <family val="2"/>
      </rPr>
      <t>12</t>
    </r>
  </si>
  <si>
    <r>
      <t>A</t>
    </r>
    <r>
      <rPr>
        <vertAlign val="subscript"/>
        <sz val="10"/>
        <rFont val="Arial"/>
        <family val="2"/>
      </rPr>
      <t>21</t>
    </r>
  </si>
  <si>
    <r>
      <t>Van Laar model with 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and A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 xml:space="preserve"> chosen to match the azeotrope. See plot ----&gt;</t>
    </r>
  </si>
  <si>
    <t xml:space="preserve">      @x1~0.35</t>
  </si>
  <si>
    <t>Antoine A</t>
  </si>
  <si>
    <t>Antoine B</t>
  </si>
  <si>
    <t>Antoine C</t>
  </si>
  <si>
    <t>using the UNIQUAC activity coefficient expression. Antoine coeffients are optional.</t>
  </si>
  <si>
    <r>
      <t>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 (mmHg)</t>
    </r>
  </si>
  <si>
    <t>y</t>
  </si>
  <si>
    <r>
      <t>P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(mm Hg)</t>
    </r>
  </si>
  <si>
    <r>
      <t>K</t>
    </r>
    <r>
      <rPr>
        <vertAlign val="subscript"/>
        <sz val="8"/>
        <rFont val="Arial"/>
        <family val="2"/>
      </rPr>
      <t>i,old</t>
    </r>
  </si>
  <si>
    <r>
      <t>K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</si>
  <si>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</si>
  <si>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</si>
  <si>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</si>
  <si>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i,new</t>
    </r>
  </si>
  <si>
    <r>
      <t>a</t>
    </r>
    <r>
      <rPr>
        <sz val="8"/>
        <rFont val="Arial"/>
        <family val="2"/>
      </rPr>
      <t xml:space="preserve"> phase</t>
    </r>
  </si>
  <si>
    <r>
      <t>b</t>
    </r>
    <r>
      <rPr>
        <sz val="8"/>
        <rFont val="Arial"/>
        <family val="2"/>
      </rPr>
      <t xml:space="preserve"> phase</t>
    </r>
  </si>
  <si>
    <t>UNIFAC (LLEa,b)</t>
  </si>
  <si>
    <t xml:space="preserve">Two spreadsheets to use with the UNIFAC activity coefficient model </t>
  </si>
  <si>
    <t>ANTOINE</t>
  </si>
  <si>
    <t>Table of Antoine Coefficients.</t>
  </si>
  <si>
    <t>This table permits calculation of LLE if it exists as above in column G and M (LLE explained in Chap 12)</t>
  </si>
  <si>
    <t>2-Propanol</t>
  </si>
  <si>
    <t>Ind. Eng. Chem. Process Des. Dev., 1981, 20, 331-339.</t>
  </si>
  <si>
    <t xml:space="preserve">T. Magnussen, P. Rasmussen, A. Fredenslund, </t>
  </si>
  <si>
    <t xml:space="preserve">Note: MeOH is not a unique group in the citation used to </t>
  </si>
  <si>
    <t>develop this sheet.</t>
  </si>
  <si>
    <t>The formulas look a little different because or the use of the intermediate variable 'l', however the equations</t>
  </si>
  <si>
    <t>Margules Parameters</t>
  </si>
  <si>
    <t>A12_</t>
  </si>
  <si>
    <t>A21_</t>
  </si>
  <si>
    <r>
      <t>y</t>
    </r>
    <r>
      <rPr>
        <vertAlign val="subscript"/>
        <sz val="10"/>
        <rFont val="Arial"/>
        <family val="2"/>
      </rPr>
      <t>1 calc</t>
    </r>
  </si>
  <si>
    <r>
      <t>y</t>
    </r>
    <r>
      <rPr>
        <vertAlign val="subscript"/>
        <sz val="10"/>
        <rFont val="Arial"/>
        <family val="2"/>
      </rPr>
      <t>2 calc</t>
    </r>
  </si>
  <si>
    <r>
      <t>The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bubble temperatures</t>
    </r>
    <r>
      <rPr>
        <sz val="10"/>
        <rFont val="Arial"/>
        <family val="2"/>
      </rPr>
      <t xml:space="preserve"> and vapor compositions at each temperature are computed</t>
    </r>
  </si>
  <si>
    <t>Mixture data to be used in all sets:</t>
  </si>
  <si>
    <t>using: (1) the Scatchard-Hildebrand model with zero binary interaction coefficient;</t>
  </si>
  <si>
    <t xml:space="preserve">(2) the Scatchard-Hildebrand model with binary interaction coefficient chosen to match </t>
  </si>
  <si>
    <t xml:space="preserve">the bubble pressure near the azeotrope; (3) the van Laar model; The system </t>
  </si>
  <si>
    <t xml:space="preserve">Methanol+benzene data from Perry's 6th p13-12 and 13.59 </t>
  </si>
  <si>
    <t>of occurences of each functional group in each component.</t>
  </si>
  <si>
    <t>Further instructions are given in comment boxes. Use View…Comment…to show or hide them.</t>
  </si>
  <si>
    <t>Table 2. Component Structure Information and Activity Coefficient Calculation.</t>
  </si>
  <si>
    <t>C2-COOH</t>
  </si>
  <si>
    <t>SubGroup</t>
  </si>
  <si>
    <t>Parameters from "Chemical Engineering Thermodynamics", Y.V.C. Rao,</t>
  </si>
  <si>
    <t>Sangam Books, London, 1997.</t>
  </si>
  <si>
    <t>Table 3. Interaction Parameters to be used in the calculations for the selected groups as indicated on sheet "UNIFAC (VLE)".</t>
  </si>
  <si>
    <t>Table 1. Residual Group Interaction Parameters for Main Groups.</t>
  </si>
  <si>
    <t>Do not edit this table unless you want to reprogram. Change values in Tables 1 and 2 unless you want to reprogram.</t>
  </si>
  <si>
    <t>the sheet, and then change only the values in blue. See Table 2 on this sheet for subgroup parameters.</t>
  </si>
  <si>
    <t>(The chemical structures for the main groups listed here are shown in Table 2 below).</t>
  </si>
  <si>
    <t>NOTE: BLANK CELLS MEAN THE VALUE IS UNAVAILABLE AND A VALUE OF ZERO IS USED IN CALCULATIONS.</t>
  </si>
  <si>
    <t>Sub</t>
  </si>
  <si>
    <t xml:space="preserve">Table 2. Sub-group Surface and Volume Parameters. </t>
  </si>
  <si>
    <t>All sub-groups within a main group use the same residual group interaction parameters from Table 1.</t>
  </si>
  <si>
    <t>To add a new sub-group, unprotect the sheet and overwrite one of the existing rows unless you want to reprogram. If the new</t>
  </si>
  <si>
    <t>sub-group belongs to a main group that is not already listed, a row and column in Table 1 will also need to be changed.</t>
  </si>
  <si>
    <t>MainGroup</t>
  </si>
  <si>
    <r>
      <t>Y</t>
    </r>
    <r>
      <rPr>
        <sz val="10"/>
        <rFont val="Arial"/>
        <family val="2"/>
      </rPr>
      <t xml:space="preserve"> </t>
    </r>
  </si>
  <si>
    <t>CH2=CH</t>
  </si>
  <si>
    <t>CH=CH</t>
  </si>
  <si>
    <t>CH2=C</t>
  </si>
  <si>
    <t>CH=C</t>
  </si>
  <si>
    <t>C=C</t>
  </si>
  <si>
    <t>AC</t>
  </si>
  <si>
    <t>ACCH</t>
  </si>
  <si>
    <t>CH3OH</t>
  </si>
  <si>
    <t>CH2CO</t>
  </si>
  <si>
    <t>CH2COO</t>
  </si>
  <si>
    <t>CH2NH2</t>
  </si>
  <si>
    <t>CCL2</t>
  </si>
  <si>
    <t>CON(CH2)2</t>
  </si>
  <si>
    <r>
      <t>T(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C)=</t>
    </r>
  </si>
  <si>
    <r>
      <t>Table 1. Antoine Coefficients (mmHg) log10(P</t>
    </r>
    <r>
      <rPr>
        <b/>
        <vertAlign val="superscript"/>
        <sz val="10"/>
        <rFont val="Arial"/>
        <family val="2"/>
      </rPr>
      <t>sat</t>
    </r>
    <r>
      <rPr>
        <b/>
        <sz val="10"/>
        <rFont val="Arial"/>
        <family val="2"/>
      </rPr>
      <t xml:space="preserve">)=A-B/(T+C) where T[=]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</si>
  <si>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r>
      <t>x</t>
    </r>
    <r>
      <rPr>
        <vertAlign val="subscript"/>
        <sz val="8"/>
        <rFont val="Arial"/>
        <family val="2"/>
      </rPr>
      <t>i</t>
    </r>
  </si>
  <si>
    <r>
      <t>a</t>
    </r>
    <r>
      <rPr>
        <i/>
        <vertAlign val="subscript"/>
        <sz val="10"/>
        <rFont val="Arial"/>
        <family val="2"/>
      </rPr>
      <t>ij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(i=column, j=row)</t>
    </r>
  </si>
  <si>
    <r>
      <t xml:space="preserve">Table 4. Matrix of </t>
    </r>
    <r>
      <rPr>
        <sz val="10"/>
        <rFont val="Symbol"/>
        <family val="1"/>
        <charset val="2"/>
      </rPr>
      <t>Y</t>
    </r>
    <r>
      <rPr>
        <sz val="10"/>
        <rFont val="Arial"/>
        <family val="2"/>
      </rPr>
      <t xml:space="preserve"> values used in calculations on sheet "UNIFAC (VLE). </t>
    </r>
  </si>
  <si>
    <t>The liquid phase mole fractions are the only variables that should be changed on this sheet.</t>
  </si>
  <si>
    <t>All component information is entered on "UNIFAC (LLEa)" and replicated here automatically.</t>
  </si>
  <si>
    <t>This sheet should be used in conjunction with "UNIFAC (LLEa)".</t>
  </si>
  <si>
    <t>Second liquid phase for LLE calculations.</t>
  </si>
  <si>
    <t>Liquid-liquid calculation using UNIFAC LLE. Sheet for first liquid phase. See also "UNIFAC (LLEb)".</t>
  </si>
  <si>
    <t>components, type a samll number like 1E-20 for the mole fractions of the absent components.  If you want</t>
  </si>
  <si>
    <t>For use with "Introductory Chemical Engineering Thermodynamics" by J.R. Elliott, C.T. Lira</t>
  </si>
  <si>
    <t>For this calculation, experimental azeotrope is taken as x1 = y1 = 0.614, T(C) = 58.3</t>
  </si>
  <si>
    <t>NRTL</t>
  </si>
  <si>
    <t>NRTL5</t>
  </si>
  <si>
    <t>Multicomponent NRTL with up to 5 components.</t>
  </si>
  <si>
    <t>Binary NRTL model.</t>
  </si>
  <si>
    <t>NRTL MODEL</t>
  </si>
  <si>
    <t>NOTE: The variable and sign conventions are the same as APSEN, not the original publication.</t>
  </si>
  <si>
    <t>HAc</t>
  </si>
  <si>
    <t>EtAc</t>
  </si>
  <si>
    <t>PropAcid</t>
  </si>
  <si>
    <t>gamma</t>
  </si>
  <si>
    <t>aij</t>
  </si>
  <si>
    <t>tau</t>
  </si>
  <si>
    <t>bij</t>
  </si>
  <si>
    <t>Gij</t>
  </si>
  <si>
    <t>term1</t>
  </si>
  <si>
    <t>term2</t>
  </si>
  <si>
    <t>inv term2</t>
  </si>
  <si>
    <t>sq inv t2</t>
  </si>
  <si>
    <t>part1</t>
  </si>
  <si>
    <t>part2</t>
  </si>
  <si>
    <t>part3</t>
  </si>
  <si>
    <t>lngamma</t>
  </si>
  <si>
    <r>
      <t>a</t>
    </r>
    <r>
      <rPr>
        <sz val="10"/>
        <rFont val="Arial"/>
        <family val="2"/>
      </rPr>
      <t>ij</t>
    </r>
  </si>
  <si>
    <t>Intermediate Calculations</t>
  </si>
  <si>
    <t>Parameters</t>
  </si>
  <si>
    <t>T (K)</t>
  </si>
  <si>
    <r>
      <t>g</t>
    </r>
    <r>
      <rPr>
        <sz val="10"/>
        <rFont val="Arial"/>
        <family val="2"/>
      </rPr>
      <t>1</t>
    </r>
  </si>
  <si>
    <r>
      <t>g</t>
    </r>
    <r>
      <rPr>
        <sz val="10"/>
        <rFont val="Arial"/>
        <family val="2"/>
      </rPr>
      <t>2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</si>
  <si>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>/R(K)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</si>
  <si>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>/R(K)</t>
    </r>
  </si>
  <si>
    <r>
      <t>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</si>
  <si>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12</t>
    </r>
  </si>
  <si>
    <r>
      <t>t</t>
    </r>
    <r>
      <rPr>
        <vertAlign val="subscript"/>
        <sz val="10"/>
        <rFont val="Arial"/>
        <family val="2"/>
      </rPr>
      <t>21</t>
    </r>
  </si>
  <si>
    <r>
      <t>G</t>
    </r>
    <r>
      <rPr>
        <vertAlign val="subscript"/>
        <sz val="10"/>
        <rFont val="Arial"/>
        <family val="2"/>
      </rPr>
      <t>12</t>
    </r>
  </si>
  <si>
    <r>
      <t>G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</si>
  <si>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+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/T, other variables as defined on the binary sheet. To reproduce original NRTL, set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0 and set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/R.</t>
    </r>
  </si>
  <si>
    <t>added NRTL and NRTL5 (CTL)</t>
  </si>
  <si>
    <t>Copyright 1997-2012, Carl Lira, Richard Elliott</t>
  </si>
  <si>
    <t>(1) Water</t>
  </si>
  <si>
    <t>(2) MEK</t>
  </si>
  <si>
    <t>phenanthrene</t>
  </si>
  <si>
    <t>acetone</t>
  </si>
  <si>
    <t>Chloroform</t>
  </si>
  <si>
    <t>ethanol</t>
  </si>
  <si>
    <t>Acetic Acid</t>
  </si>
  <si>
    <t>phenanthracene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</si>
</sst>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0.000000_)"/>
    <numFmt numFmtId="166" formatCode="0.000"/>
    <numFmt numFmtId="167" formatCode="0.0000"/>
    <numFmt numFmtId="168" formatCode="0.00000"/>
    <numFmt numFmtId="169" formatCode="0;0;"/>
  </numFmts>
  <fonts count="45">
    <font>
      <sz val="10"/>
      <name val="Courier"/>
    </font>
    <font>
      <sz val="10"/>
      <name val="MS Sans Serif"/>
      <family val="2"/>
    </font>
    <font>
      <sz val="18"/>
      <name val="MS Sans Serif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bscript"/>
      <sz val="8.5"/>
      <name val="Arial"/>
      <family val="2"/>
    </font>
    <font>
      <vertAlign val="subscript"/>
      <sz val="10"/>
      <name val="Arial"/>
      <family val="2"/>
    </font>
    <font>
      <sz val="10"/>
      <color indexed="39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sz val="10"/>
      <name val="Symbol"/>
      <family val="1"/>
      <charset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vertAlign val="subscript"/>
      <sz val="8"/>
      <name val="Arial"/>
      <family val="2"/>
    </font>
    <font>
      <i/>
      <vertAlign val="subscript"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vertAlign val="superscript"/>
      <sz val="10"/>
      <name val="Symbol"/>
      <family val="1"/>
      <charset val="2"/>
    </font>
    <font>
      <u/>
      <sz val="10"/>
      <name val="Arial"/>
      <family val="2"/>
    </font>
    <font>
      <vertAlign val="superscript"/>
      <sz val="8"/>
      <name val="Symbol"/>
      <family val="1"/>
      <charset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10"/>
      <name val="Courier"/>
      <family val="3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39"/>
      <name val="Arial"/>
      <family val="2"/>
    </font>
    <font>
      <u/>
      <sz val="10"/>
      <color theme="10"/>
      <name val="Courier"/>
      <family val="1"/>
    </font>
    <font>
      <u/>
      <sz val="10"/>
      <color theme="11"/>
      <name val="Courier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164" fontId="0" fillId="0" borderId="0"/>
    <xf numFmtId="164" fontId="33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</cellStyleXfs>
  <cellXfs count="282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 applyAlignment="1">
      <alignment horizontal="left"/>
    </xf>
    <xf numFmtId="164" fontId="3" fillId="0" borderId="0" xfId="0" applyFont="1" applyAlignment="1">
      <alignment horizontal="center"/>
    </xf>
    <xf numFmtId="164" fontId="3" fillId="0" borderId="0" xfId="0" applyFont="1"/>
    <xf numFmtId="164" fontId="3" fillId="0" borderId="1" xfId="0" applyFont="1" applyBorder="1" applyAlignment="1">
      <alignment horizontal="left"/>
    </xf>
    <xf numFmtId="164" fontId="3" fillId="0" borderId="2" xfId="0" applyFont="1" applyBorder="1"/>
    <xf numFmtId="164" fontId="3" fillId="0" borderId="3" xfId="0" applyFont="1" applyBorder="1" applyAlignment="1">
      <alignment horizontal="center"/>
    </xf>
    <xf numFmtId="164" fontId="3" fillId="0" borderId="4" xfId="0" applyFont="1" applyBorder="1" applyAlignment="1">
      <alignment horizontal="center"/>
    </xf>
    <xf numFmtId="164" fontId="3" fillId="0" borderId="5" xfId="0" applyFont="1" applyBorder="1" applyAlignment="1">
      <alignment horizontal="center"/>
    </xf>
    <xf numFmtId="164" fontId="3" fillId="0" borderId="6" xfId="0" applyFont="1" applyBorder="1"/>
    <xf numFmtId="164" fontId="7" fillId="0" borderId="7" xfId="0" applyFont="1" applyBorder="1" applyAlignment="1" applyProtection="1">
      <alignment horizontal="center"/>
      <protection locked="0"/>
    </xf>
    <xf numFmtId="164" fontId="7" fillId="0" borderId="8" xfId="0" applyFont="1" applyBorder="1" applyAlignment="1" applyProtection="1">
      <alignment horizontal="center"/>
      <protection locked="0"/>
    </xf>
    <xf numFmtId="164" fontId="3" fillId="0" borderId="0" xfId="0" applyFont="1" applyAlignment="1" applyProtection="1">
      <alignment horizontal="center"/>
    </xf>
    <xf numFmtId="164" fontId="3" fillId="0" borderId="9" xfId="0" applyFont="1" applyBorder="1" applyAlignment="1" applyProtection="1">
      <alignment horizontal="left"/>
    </xf>
    <xf numFmtId="164" fontId="3" fillId="0" borderId="10" xfId="0" applyFont="1" applyBorder="1" applyProtection="1"/>
    <xf numFmtId="164" fontId="7" fillId="0" borderId="11" xfId="0" applyFont="1" applyBorder="1" applyProtection="1">
      <protection locked="0"/>
    </xf>
    <xf numFmtId="164" fontId="3" fillId="0" borderId="0" xfId="0" applyFont="1" applyProtection="1"/>
    <xf numFmtId="164" fontId="3" fillId="0" borderId="0" xfId="0" applyFont="1" applyBorder="1" applyAlignment="1" applyProtection="1">
      <alignment horizontal="center"/>
    </xf>
    <xf numFmtId="164" fontId="3" fillId="0" borderId="0" xfId="0" applyFont="1" applyBorder="1" applyProtection="1"/>
    <xf numFmtId="164" fontId="7" fillId="0" borderId="0" xfId="0" applyFont="1" applyAlignment="1" applyProtection="1">
      <alignment horizontal="center"/>
      <protection locked="0"/>
    </xf>
    <xf numFmtId="164" fontId="8" fillId="0" borderId="0" xfId="0" applyFont="1" applyProtection="1">
      <protection locked="0"/>
    </xf>
    <xf numFmtId="164" fontId="3" fillId="0" borderId="9" xfId="0" applyFont="1" applyBorder="1"/>
    <xf numFmtId="164" fontId="3" fillId="0" borderId="12" xfId="0" applyFont="1" applyBorder="1"/>
    <xf numFmtId="164" fontId="3" fillId="0" borderId="11" xfId="0" applyFont="1" applyBorder="1"/>
    <xf numFmtId="164" fontId="7" fillId="0" borderId="12" xfId="0" applyFont="1" applyBorder="1"/>
    <xf numFmtId="164" fontId="7" fillId="0" borderId="12" xfId="0" applyFont="1" applyBorder="1" applyProtection="1">
      <protection locked="0"/>
    </xf>
    <xf numFmtId="164" fontId="3" fillId="0" borderId="10" xfId="0" applyFont="1" applyBorder="1"/>
    <xf numFmtId="164" fontId="3" fillId="0" borderId="0" xfId="0" applyFont="1" applyAlignment="1">
      <alignment horizontal="right"/>
    </xf>
    <xf numFmtId="165" fontId="7" fillId="0" borderId="0" xfId="0" applyNumberFormat="1" applyFont="1" applyProtection="1">
      <protection locked="0"/>
    </xf>
    <xf numFmtId="0" fontId="3" fillId="0" borderId="0" xfId="0" applyNumberFormat="1" applyFont="1" applyProtection="1"/>
    <xf numFmtId="0" fontId="9" fillId="0" borderId="0" xfId="5"/>
    <xf numFmtId="0" fontId="11" fillId="0" borderId="0" xfId="5" applyFont="1"/>
    <xf numFmtId="0" fontId="11" fillId="0" borderId="0" xfId="5" applyFont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9" fillId="0" borderId="0" xfId="5" applyAlignment="1">
      <alignment horizontal="center"/>
    </xf>
    <xf numFmtId="0" fontId="13" fillId="0" borderId="0" xfId="2" applyFont="1"/>
    <xf numFmtId="0" fontId="10" fillId="0" borderId="0" xfId="2" applyFont="1"/>
    <xf numFmtId="0" fontId="9" fillId="0" borderId="0" xfId="2"/>
    <xf numFmtId="0" fontId="10" fillId="0" borderId="0" xfId="2" applyFont="1" applyAlignment="1">
      <alignment horizontal="center"/>
    </xf>
    <xf numFmtId="0" fontId="9" fillId="0" borderId="0" xfId="2" applyAlignment="1">
      <alignment horizontal="center"/>
    </xf>
    <xf numFmtId="166" fontId="10" fillId="0" borderId="0" xfId="2" applyNumberFormat="1" applyFont="1"/>
    <xf numFmtId="164" fontId="0" fillId="0" borderId="0" xfId="0" applyAlignment="1">
      <alignment horizontal="center"/>
    </xf>
    <xf numFmtId="164" fontId="15" fillId="0" borderId="0" xfId="0" applyFont="1" applyAlignment="1">
      <alignment horizontal="center"/>
    </xf>
    <xf numFmtId="0" fontId="9" fillId="0" borderId="1" xfId="5" applyFont="1" applyBorder="1"/>
    <xf numFmtId="0" fontId="9" fillId="0" borderId="2" xfId="5" applyBorder="1"/>
    <xf numFmtId="0" fontId="9" fillId="0" borderId="13" xfId="5" applyFont="1" applyBorder="1"/>
    <xf numFmtId="0" fontId="9" fillId="0" borderId="0" xfId="5" applyBorder="1"/>
    <xf numFmtId="0" fontId="9" fillId="0" borderId="5" xfId="5" applyFont="1" applyBorder="1"/>
    <xf numFmtId="0" fontId="9" fillId="0" borderId="6" xfId="5" applyBorder="1"/>
    <xf numFmtId="0" fontId="11" fillId="0" borderId="3" xfId="5" applyFont="1" applyBorder="1"/>
    <xf numFmtId="0" fontId="16" fillId="0" borderId="12" xfId="5" applyFont="1" applyBorder="1" applyAlignment="1" applyProtection="1">
      <alignment horizontal="center"/>
      <protection locked="0"/>
    </xf>
    <xf numFmtId="168" fontId="16" fillId="0" borderId="12" xfId="5" applyNumberFormat="1" applyFont="1" applyBorder="1" applyAlignment="1" applyProtection="1">
      <alignment horizontal="center"/>
      <protection locked="0"/>
    </xf>
    <xf numFmtId="166" fontId="16" fillId="0" borderId="12" xfId="5" applyNumberFormat="1" applyFont="1" applyBorder="1" applyProtection="1">
      <protection locked="0"/>
    </xf>
    <xf numFmtId="166" fontId="10" fillId="0" borderId="12" xfId="5" applyNumberFormat="1" applyFont="1" applyBorder="1"/>
    <xf numFmtId="0" fontId="16" fillId="0" borderId="12" xfId="5" applyFont="1" applyBorder="1" applyProtection="1">
      <protection locked="0"/>
    </xf>
    <xf numFmtId="167" fontId="10" fillId="0" borderId="12" xfId="5" applyNumberFormat="1" applyFont="1" applyBorder="1"/>
    <xf numFmtId="0" fontId="10" fillId="0" borderId="0" xfId="2" applyNumberFormat="1" applyFont="1"/>
    <xf numFmtId="0" fontId="17" fillId="0" borderId="0" xfId="7"/>
    <xf numFmtId="0" fontId="17" fillId="0" borderId="12" xfId="7" applyBorder="1"/>
    <xf numFmtId="0" fontId="18" fillId="0" borderId="12" xfId="7" applyFont="1" applyBorder="1" applyProtection="1">
      <protection locked="0"/>
    </xf>
    <xf numFmtId="0" fontId="3" fillId="0" borderId="12" xfId="7" applyFont="1" applyBorder="1" applyProtection="1"/>
    <xf numFmtId="11" fontId="18" fillId="0" borderId="12" xfId="7" applyNumberFormat="1" applyFont="1" applyBorder="1" applyProtection="1">
      <protection locked="0"/>
    </xf>
    <xf numFmtId="0" fontId="15" fillId="0" borderId="12" xfId="7" applyFont="1" applyBorder="1"/>
    <xf numFmtId="0" fontId="17" fillId="0" borderId="0" xfId="7" applyBorder="1"/>
    <xf numFmtId="0" fontId="15" fillId="0" borderId="0" xfId="7" applyFont="1"/>
    <xf numFmtId="0" fontId="3" fillId="0" borderId="12" xfId="7" applyFont="1" applyBorder="1"/>
    <xf numFmtId="0" fontId="17" fillId="0" borderId="0" xfId="7" applyFont="1"/>
    <xf numFmtId="0" fontId="3" fillId="0" borderId="0" xfId="7" applyFont="1"/>
    <xf numFmtId="0" fontId="18" fillId="0" borderId="0" xfId="7" applyFont="1" applyBorder="1" applyProtection="1">
      <protection locked="0"/>
    </xf>
    <xf numFmtId="0" fontId="12" fillId="0" borderId="0" xfId="5" applyFont="1"/>
    <xf numFmtId="0" fontId="19" fillId="0" borderId="12" xfId="5" applyFont="1" applyBorder="1" applyProtection="1">
      <protection locked="0"/>
    </xf>
    <xf numFmtId="0" fontId="19" fillId="0" borderId="0" xfId="5" applyFont="1" applyBorder="1" applyProtection="1">
      <protection locked="0"/>
    </xf>
    <xf numFmtId="0" fontId="16" fillId="0" borderId="0" xfId="5" applyFont="1" applyBorder="1" applyProtection="1">
      <protection locked="0"/>
    </xf>
    <xf numFmtId="0" fontId="16" fillId="0" borderId="0" xfId="5" applyFont="1" applyProtection="1">
      <protection locked="0"/>
    </xf>
    <xf numFmtId="164" fontId="10" fillId="0" borderId="0" xfId="0" applyFont="1" applyAlignment="1">
      <alignment horizontal="center"/>
    </xf>
    <xf numFmtId="0" fontId="16" fillId="0" borderId="0" xfId="5" applyFont="1" applyBorder="1" applyAlignment="1" applyProtection="1">
      <alignment horizontal="center"/>
      <protection locked="0"/>
    </xf>
    <xf numFmtId="166" fontId="16" fillId="0" borderId="0" xfId="5" applyNumberFormat="1" applyFont="1" applyBorder="1" applyProtection="1">
      <protection locked="0"/>
    </xf>
    <xf numFmtId="0" fontId="15" fillId="0" borderId="0" xfId="7" applyFont="1" applyBorder="1" applyAlignment="1">
      <alignment horizontal="center"/>
    </xf>
    <xf numFmtId="0" fontId="15" fillId="0" borderId="0" xfId="7" applyFont="1" applyBorder="1"/>
    <xf numFmtId="0" fontId="13" fillId="0" borderId="0" xfId="5" applyFont="1"/>
    <xf numFmtId="0" fontId="10" fillId="0" borderId="0" xfId="5" applyFont="1" applyBorder="1" applyProtection="1"/>
    <xf numFmtId="0" fontId="10" fillId="0" borderId="1" xfId="5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164" fontId="10" fillId="0" borderId="4" xfId="0" applyFont="1" applyBorder="1"/>
    <xf numFmtId="0" fontId="10" fillId="0" borderId="4" xfId="5" applyFont="1" applyBorder="1" applyAlignment="1">
      <alignment horizontal="center"/>
    </xf>
    <xf numFmtId="0" fontId="10" fillId="0" borderId="2" xfId="5" applyFont="1" applyBorder="1"/>
    <xf numFmtId="0" fontId="10" fillId="0" borderId="4" xfId="5" applyFont="1" applyBorder="1"/>
    <xf numFmtId="164" fontId="10" fillId="0" borderId="1" xfId="0" applyFont="1" applyBorder="1"/>
    <xf numFmtId="164" fontId="10" fillId="0" borderId="2" xfId="0" applyFont="1" applyBorder="1"/>
    <xf numFmtId="0" fontId="12" fillId="0" borderId="1" xfId="5" applyFont="1" applyBorder="1"/>
    <xf numFmtId="0" fontId="12" fillId="0" borderId="2" xfId="5" applyFont="1" applyBorder="1"/>
    <xf numFmtId="0" fontId="12" fillId="0" borderId="4" xfId="5" applyFont="1" applyBorder="1"/>
    <xf numFmtId="0" fontId="10" fillId="0" borderId="13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164" fontId="10" fillId="0" borderId="14" xfId="0" applyFont="1" applyBorder="1"/>
    <xf numFmtId="0" fontId="10" fillId="0" borderId="14" xfId="5" applyFont="1" applyBorder="1" applyAlignment="1">
      <alignment horizontal="center"/>
    </xf>
    <xf numFmtId="0" fontId="10" fillId="0" borderId="0" xfId="5" applyFont="1" applyBorder="1"/>
    <xf numFmtId="0" fontId="10" fillId="0" borderId="14" xfId="5" applyFont="1" applyBorder="1"/>
    <xf numFmtId="164" fontId="10" fillId="0" borderId="13" xfId="0" applyFont="1" applyBorder="1"/>
    <xf numFmtId="164" fontId="10" fillId="0" borderId="0" xfId="0" applyFont="1" applyBorder="1"/>
    <xf numFmtId="0" fontId="12" fillId="0" borderId="13" xfId="5" applyFont="1" applyBorder="1"/>
    <xf numFmtId="0" fontId="12" fillId="0" borderId="0" xfId="5" applyFont="1" applyBorder="1"/>
    <xf numFmtId="0" fontId="12" fillId="0" borderId="14" xfId="5" applyFont="1" applyBorder="1"/>
    <xf numFmtId="0" fontId="10" fillId="0" borderId="13" xfId="5" applyFont="1" applyBorder="1"/>
    <xf numFmtId="0" fontId="10" fillId="0" borderId="5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164" fontId="10" fillId="0" borderId="8" xfId="0" applyFont="1" applyBorder="1"/>
    <xf numFmtId="0" fontId="10" fillId="0" borderId="8" xfId="5" applyFont="1" applyBorder="1" applyAlignment="1">
      <alignment horizontal="center"/>
    </xf>
    <xf numFmtId="0" fontId="10" fillId="0" borderId="6" xfId="5" applyFont="1" applyBorder="1"/>
    <xf numFmtId="0" fontId="10" fillId="0" borderId="8" xfId="5" applyFont="1" applyBorder="1"/>
    <xf numFmtId="164" fontId="10" fillId="0" borderId="5" xfId="0" applyFont="1" applyBorder="1"/>
    <xf numFmtId="164" fontId="10" fillId="0" borderId="6" xfId="0" applyFont="1" applyBorder="1"/>
    <xf numFmtId="0" fontId="12" fillId="0" borderId="5" xfId="5" applyFont="1" applyBorder="1"/>
    <xf numFmtId="0" fontId="12" fillId="0" borderId="6" xfId="5" applyFont="1" applyBorder="1"/>
    <xf numFmtId="0" fontId="12" fillId="0" borderId="8" xfId="5" applyFont="1" applyBorder="1"/>
    <xf numFmtId="0" fontId="13" fillId="0" borderId="0" xfId="5" applyFont="1" applyAlignment="1">
      <alignment horizontal="center"/>
    </xf>
    <xf numFmtId="0" fontId="10" fillId="0" borderId="0" xfId="5" applyFont="1" applyProtection="1"/>
    <xf numFmtId="0" fontId="11" fillId="0" borderId="0" xfId="5" applyFont="1" applyProtection="1"/>
    <xf numFmtId="167" fontId="10" fillId="0" borderId="0" xfId="5" applyNumberFormat="1" applyFont="1" applyBorder="1"/>
    <xf numFmtId="167" fontId="10" fillId="0" borderId="0" xfId="5" applyNumberFormat="1" applyFont="1" applyAlignment="1">
      <alignment horizontal="center"/>
    </xf>
    <xf numFmtId="0" fontId="3" fillId="0" borderId="0" xfId="2" applyFont="1"/>
    <xf numFmtId="0" fontId="22" fillId="0" borderId="0" xfId="2" applyFont="1"/>
    <xf numFmtId="0" fontId="10" fillId="0" borderId="12" xfId="2" applyFont="1" applyBorder="1" applyAlignment="1">
      <alignment horizontal="center"/>
    </xf>
    <xf numFmtId="0" fontId="16" fillId="0" borderId="12" xfId="2" applyFont="1" applyBorder="1"/>
    <xf numFmtId="0" fontId="16" fillId="0" borderId="13" xfId="2" applyFont="1" applyBorder="1"/>
    <xf numFmtId="0" fontId="16" fillId="0" borderId="14" xfId="2" applyFont="1" applyBorder="1"/>
    <xf numFmtId="0" fontId="16" fillId="0" borderId="1" xfId="2" applyFont="1" applyBorder="1"/>
    <xf numFmtId="0" fontId="16" fillId="0" borderId="2" xfId="2" applyFont="1" applyBorder="1"/>
    <xf numFmtId="0" fontId="16" fillId="0" borderId="4" xfId="2" applyFont="1" applyBorder="1"/>
    <xf numFmtId="0" fontId="10" fillId="0" borderId="12" xfId="2" applyFont="1" applyBorder="1"/>
    <xf numFmtId="0" fontId="16" fillId="0" borderId="0" xfId="2" applyFont="1" applyBorder="1"/>
    <xf numFmtId="0" fontId="16" fillId="0" borderId="5" xfId="2" applyFont="1" applyBorder="1"/>
    <xf numFmtId="0" fontId="16" fillId="0" borderId="8" xfId="2" applyFont="1" applyBorder="1"/>
    <xf numFmtId="0" fontId="16" fillId="0" borderId="6" xfId="2" applyFont="1" applyBorder="1"/>
    <xf numFmtId="164" fontId="10" fillId="0" borderId="0" xfId="0" applyFont="1"/>
    <xf numFmtId="0" fontId="12" fillId="0" borderId="0" xfId="5" applyNumberFormat="1" applyFont="1"/>
    <xf numFmtId="0" fontId="23" fillId="0" borderId="0" xfId="2" applyFont="1"/>
    <xf numFmtId="2" fontId="3" fillId="0" borderId="0" xfId="0" applyNumberFormat="1" applyFont="1"/>
    <xf numFmtId="168" fontId="3" fillId="0" borderId="0" xfId="0" applyNumberFormat="1" applyFont="1"/>
    <xf numFmtId="168" fontId="10" fillId="0" borderId="0" xfId="0" applyNumberFormat="1" applyFont="1"/>
    <xf numFmtId="168" fontId="12" fillId="0" borderId="0" xfId="5" applyNumberFormat="1" applyFont="1"/>
    <xf numFmtId="0" fontId="3" fillId="0" borderId="0" xfId="5" applyFont="1"/>
    <xf numFmtId="0" fontId="18" fillId="0" borderId="0" xfId="5" applyFont="1" applyProtection="1">
      <protection locked="0"/>
    </xf>
    <xf numFmtId="0" fontId="4" fillId="0" borderId="0" xfId="5" applyFont="1"/>
    <xf numFmtId="169" fontId="10" fillId="0" borderId="0" xfId="2" applyNumberFormat="1" applyFont="1"/>
    <xf numFmtId="166" fontId="26" fillId="0" borderId="0" xfId="2" applyNumberFormat="1" applyFont="1"/>
    <xf numFmtId="169" fontId="10" fillId="0" borderId="0" xfId="0" applyNumberFormat="1" applyFont="1"/>
    <xf numFmtId="169" fontId="3" fillId="0" borderId="0" xfId="2" applyNumberFormat="1" applyFont="1"/>
    <xf numFmtId="0" fontId="3" fillId="0" borderId="0" xfId="7" applyFont="1" applyBorder="1"/>
    <xf numFmtId="0" fontId="3" fillId="0" borderId="0" xfId="7" applyFont="1" applyBorder="1" applyProtection="1"/>
    <xf numFmtId="0" fontId="17" fillId="0" borderId="0" xfId="7" applyFont="1" applyBorder="1"/>
    <xf numFmtId="0" fontId="17" fillId="0" borderId="0" xfId="7" applyNumberFormat="1"/>
    <xf numFmtId="0" fontId="3" fillId="0" borderId="0" xfId="4" applyFont="1"/>
    <xf numFmtId="0" fontId="17" fillId="0" borderId="0" xfId="4" applyFont="1"/>
    <xf numFmtId="0" fontId="15" fillId="0" borderId="0" xfId="4" applyFont="1"/>
    <xf numFmtId="0" fontId="15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28" fillId="0" borderId="0" xfId="4" applyFont="1"/>
    <xf numFmtId="0" fontId="18" fillId="0" borderId="0" xfId="4" applyFont="1" applyProtection="1">
      <protection locked="0"/>
    </xf>
    <xf numFmtId="0" fontId="3" fillId="0" borderId="0" xfId="4" applyFont="1" applyAlignment="1">
      <alignment horizontal="right"/>
    </xf>
    <xf numFmtId="0" fontId="3" fillId="0" borderId="1" xfId="4" applyFont="1" applyBorder="1"/>
    <xf numFmtId="0" fontId="3" fillId="0" borderId="13" xfId="4" applyFont="1" applyBorder="1"/>
    <xf numFmtId="0" fontId="18" fillId="0" borderId="0" xfId="4" applyFont="1" applyBorder="1" applyProtection="1">
      <protection locked="0"/>
    </xf>
    <xf numFmtId="0" fontId="3" fillId="0" borderId="5" xfId="4" applyFont="1" applyBorder="1"/>
    <xf numFmtId="0" fontId="18" fillId="0" borderId="6" xfId="4" applyFont="1" applyBorder="1" applyProtection="1">
      <protection locked="0"/>
    </xf>
    <xf numFmtId="0" fontId="3" fillId="0" borderId="12" xfId="4" applyFont="1" applyBorder="1"/>
    <xf numFmtId="0" fontId="18" fillId="0" borderId="12" xfId="4" applyFont="1" applyBorder="1" applyProtection="1">
      <protection locked="0"/>
    </xf>
    <xf numFmtId="0" fontId="15" fillId="0" borderId="12" xfId="4" applyFont="1" applyBorder="1"/>
    <xf numFmtId="0" fontId="3" fillId="0" borderId="0" xfId="4" applyFont="1" applyBorder="1"/>
    <xf numFmtId="0" fontId="15" fillId="0" borderId="0" xfId="4" applyFont="1" applyBorder="1"/>
    <xf numFmtId="0" fontId="3" fillId="0" borderId="2" xfId="4" applyFont="1" applyBorder="1"/>
    <xf numFmtId="0" fontId="3" fillId="0" borderId="2" xfId="4" applyFont="1" applyBorder="1" applyAlignment="1">
      <alignment horizontal="center"/>
    </xf>
    <xf numFmtId="0" fontId="15" fillId="0" borderId="2" xfId="4" applyFont="1" applyBorder="1"/>
    <xf numFmtId="0" fontId="3" fillId="0" borderId="4" xfId="4" applyFont="1" applyBorder="1"/>
    <xf numFmtId="0" fontId="3" fillId="0" borderId="14" xfId="4" applyFont="1" applyBorder="1"/>
    <xf numFmtId="0" fontId="3" fillId="0" borderId="6" xfId="4" applyFont="1" applyBorder="1"/>
    <xf numFmtId="0" fontId="3" fillId="0" borderId="8" xfId="4" applyFont="1" applyBorder="1"/>
    <xf numFmtId="0" fontId="17" fillId="0" borderId="12" xfId="4" applyFont="1" applyBorder="1"/>
    <xf numFmtId="0" fontId="3" fillId="0" borderId="12" xfId="4" applyFont="1" applyBorder="1" applyAlignment="1">
      <alignment horizontal="center"/>
    </xf>
    <xf numFmtId="0" fontId="15" fillId="0" borderId="6" xfId="4" applyFont="1" applyBorder="1"/>
    <xf numFmtId="0" fontId="17" fillId="0" borderId="12" xfId="7" applyFont="1" applyBorder="1"/>
    <xf numFmtId="0" fontId="17" fillId="0" borderId="12" xfId="7" applyFont="1" applyBorder="1" applyProtection="1"/>
    <xf numFmtId="167" fontId="17" fillId="0" borderId="12" xfId="7" applyNumberFormat="1" applyBorder="1" applyProtection="1"/>
    <xf numFmtId="0" fontId="17" fillId="0" borderId="12" xfId="7" applyBorder="1" applyProtection="1"/>
    <xf numFmtId="0" fontId="17" fillId="0" borderId="0" xfId="7" applyProtection="1"/>
    <xf numFmtId="0" fontId="11" fillId="0" borderId="15" xfId="5" applyFont="1" applyBorder="1"/>
    <xf numFmtId="164" fontId="3" fillId="0" borderId="7" xfId="0" applyFont="1" applyBorder="1"/>
    <xf numFmtId="0" fontId="10" fillId="0" borderId="0" xfId="7" applyFont="1"/>
    <xf numFmtId="168" fontId="16" fillId="0" borderId="12" xfId="5" applyNumberFormat="1" applyFont="1" applyBorder="1" applyProtection="1">
      <protection locked="0"/>
    </xf>
    <xf numFmtId="0" fontId="3" fillId="0" borderId="0" xfId="5" applyFont="1" applyProtection="1"/>
    <xf numFmtId="0" fontId="10" fillId="0" borderId="12" xfId="5" applyFont="1" applyBorder="1" applyProtection="1"/>
    <xf numFmtId="168" fontId="10" fillId="0" borderId="12" xfId="5" applyNumberFormat="1" applyFont="1" applyBorder="1" applyProtection="1"/>
    <xf numFmtId="168" fontId="16" fillId="0" borderId="0" xfId="5" applyNumberFormat="1" applyFont="1" applyProtection="1">
      <protection locked="0"/>
    </xf>
    <xf numFmtId="0" fontId="18" fillId="0" borderId="0" xfId="7" applyNumberFormat="1" applyFont="1" applyProtection="1">
      <protection locked="0"/>
    </xf>
    <xf numFmtId="0" fontId="30" fillId="0" borderId="0" xfId="7" applyFont="1" applyProtection="1">
      <protection locked="0"/>
    </xf>
    <xf numFmtId="168" fontId="10" fillId="0" borderId="0" xfId="5" applyNumberFormat="1" applyFont="1" applyProtection="1">
      <protection locked="0"/>
    </xf>
    <xf numFmtId="168" fontId="10" fillId="0" borderId="0" xfId="0" applyNumberFormat="1" applyFont="1" applyProtection="1">
      <protection locked="0"/>
    </xf>
    <xf numFmtId="0" fontId="3" fillId="0" borderId="0" xfId="5" applyFont="1" applyAlignment="1">
      <alignment horizontal="center"/>
    </xf>
    <xf numFmtId="0" fontId="17" fillId="0" borderId="0" xfId="6"/>
    <xf numFmtId="164" fontId="33" fillId="0" borderId="0" xfId="1"/>
    <xf numFmtId="0" fontId="3" fillId="0" borderId="12" xfId="5" applyFont="1" applyBorder="1"/>
    <xf numFmtId="0" fontId="18" fillId="0" borderId="12" xfId="5" applyFont="1" applyBorder="1" applyProtection="1">
      <protection locked="0"/>
    </xf>
    <xf numFmtId="0" fontId="4" fillId="0" borderId="12" xfId="5" applyFont="1" applyBorder="1"/>
    <xf numFmtId="0" fontId="35" fillId="0" borderId="0" xfId="5" applyFont="1"/>
    <xf numFmtId="164" fontId="16" fillId="0" borderId="12" xfId="1" applyFont="1" applyBorder="1" applyProtection="1">
      <protection locked="0"/>
    </xf>
    <xf numFmtId="164" fontId="10" fillId="0" borderId="0" xfId="1" applyFont="1" applyAlignment="1">
      <alignment horizontal="center"/>
    </xf>
    <xf numFmtId="164" fontId="36" fillId="0" borderId="0" xfId="1" applyFont="1"/>
    <xf numFmtId="164" fontId="3" fillId="0" borderId="0" xfId="1" applyFont="1"/>
    <xf numFmtId="0" fontId="16" fillId="0" borderId="0" xfId="5" applyFont="1" applyAlignment="1" applyProtection="1">
      <alignment horizontal="center"/>
      <protection locked="0"/>
    </xf>
    <xf numFmtId="164" fontId="10" fillId="0" borderId="4" xfId="1" applyFont="1" applyBorder="1"/>
    <xf numFmtId="164" fontId="10" fillId="0" borderId="1" xfId="1" applyFont="1" applyBorder="1"/>
    <xf numFmtId="164" fontId="10" fillId="0" borderId="2" xfId="1" applyFont="1" applyBorder="1"/>
    <xf numFmtId="164" fontId="10" fillId="0" borderId="14" xfId="1" applyFont="1" applyBorder="1"/>
    <xf numFmtId="164" fontId="10" fillId="0" borderId="13" xfId="1" applyFont="1" applyBorder="1"/>
    <xf numFmtId="164" fontId="10" fillId="0" borderId="0" xfId="1" applyFont="1" applyBorder="1"/>
    <xf numFmtId="164" fontId="10" fillId="0" borderId="8" xfId="1" applyFont="1" applyBorder="1"/>
    <xf numFmtId="164" fontId="10" fillId="0" borderId="5" xfId="1" applyFont="1" applyBorder="1"/>
    <xf numFmtId="164" fontId="10" fillId="0" borderId="6" xfId="1" applyFont="1" applyBorder="1"/>
    <xf numFmtId="0" fontId="3" fillId="0" borderId="0" xfId="2" applyFont="1" applyProtection="1"/>
    <xf numFmtId="0" fontId="17" fillId="0" borderId="0" xfId="2" applyFont="1" applyProtection="1"/>
    <xf numFmtId="0" fontId="35" fillId="0" borderId="0" xfId="2" applyFont="1" applyProtection="1"/>
    <xf numFmtId="164" fontId="33" fillId="0" borderId="0" xfId="1" applyFont="1" applyProtection="1"/>
    <xf numFmtId="164" fontId="3" fillId="0" borderId="0" xfId="1" applyFont="1" applyProtection="1"/>
    <xf numFmtId="0" fontId="25" fillId="0" borderId="0" xfId="2" applyFont="1" applyProtection="1"/>
    <xf numFmtId="164" fontId="38" fillId="0" borderId="0" xfId="1" applyFont="1" applyProtection="1"/>
    <xf numFmtId="169" fontId="3" fillId="0" borderId="0" xfId="2" applyNumberFormat="1" applyFont="1" applyProtection="1"/>
    <xf numFmtId="169" fontId="3" fillId="0" borderId="0" xfId="1" applyNumberFormat="1" applyFont="1" applyProtection="1"/>
    <xf numFmtId="0" fontId="3" fillId="0" borderId="0" xfId="6" applyFont="1" applyProtection="1"/>
    <xf numFmtId="0" fontId="3" fillId="0" borderId="12" xfId="2" applyFont="1" applyBorder="1" applyAlignment="1" applyProtection="1">
      <alignment horizontal="center"/>
    </xf>
    <xf numFmtId="0" fontId="3" fillId="0" borderId="9" xfId="2" applyFont="1" applyBorder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164" fontId="18" fillId="0" borderId="0" xfId="1" applyFont="1" applyProtection="1"/>
    <xf numFmtId="0" fontId="18" fillId="0" borderId="1" xfId="2" applyFont="1" applyBorder="1" applyProtection="1"/>
    <xf numFmtId="0" fontId="18" fillId="0" borderId="2" xfId="2" applyFont="1" applyBorder="1" applyProtection="1"/>
    <xf numFmtId="0" fontId="18" fillId="0" borderId="4" xfId="2" applyFont="1" applyBorder="1" applyProtection="1"/>
    <xf numFmtId="0" fontId="3" fillId="0" borderId="12" xfId="2" applyFont="1" applyBorder="1" applyProtection="1"/>
    <xf numFmtId="0" fontId="3" fillId="0" borderId="0" xfId="2" applyFont="1" applyBorder="1" applyProtection="1"/>
    <xf numFmtId="0" fontId="3" fillId="0" borderId="1" xfId="2" applyFont="1" applyBorder="1" applyProtection="1"/>
    <xf numFmtId="0" fontId="3" fillId="0" borderId="2" xfId="2" applyFont="1" applyBorder="1" applyProtection="1"/>
    <xf numFmtId="0" fontId="18" fillId="0" borderId="13" xfId="2" applyFont="1" applyBorder="1" applyProtection="1"/>
    <xf numFmtId="0" fontId="18" fillId="0" borderId="0" xfId="2" applyFont="1" applyBorder="1" applyProtection="1"/>
    <xf numFmtId="0" fontId="18" fillId="0" borderId="14" xfId="2" applyFont="1" applyBorder="1" applyProtection="1"/>
    <xf numFmtId="0" fontId="3" fillId="0" borderId="13" xfId="2" applyFont="1" applyBorder="1" applyProtection="1"/>
    <xf numFmtId="0" fontId="3" fillId="0" borderId="14" xfId="2" applyFont="1" applyBorder="1" applyProtection="1"/>
    <xf numFmtId="0" fontId="18" fillId="0" borderId="5" xfId="2" applyFont="1" applyBorder="1" applyProtection="1"/>
    <xf numFmtId="0" fontId="18" fillId="0" borderId="6" xfId="2" applyFont="1" applyBorder="1" applyProtection="1"/>
    <xf numFmtId="0" fontId="18" fillId="0" borderId="8" xfId="2" applyFont="1" applyBorder="1" applyProtection="1"/>
    <xf numFmtId="0" fontId="17" fillId="0" borderId="0" xfId="2" applyFont="1" applyAlignment="1" applyProtection="1">
      <alignment horizontal="center"/>
    </xf>
    <xf numFmtId="0" fontId="3" fillId="0" borderId="5" xfId="2" applyFont="1" applyBorder="1" applyProtection="1"/>
    <xf numFmtId="0" fontId="3" fillId="0" borderId="8" xfId="2" applyFont="1" applyBorder="1" applyProtection="1"/>
    <xf numFmtId="0" fontId="3" fillId="0" borderId="6" xfId="2" applyFont="1" applyBorder="1" applyProtection="1"/>
    <xf numFmtId="0" fontId="17" fillId="0" borderId="0" xfId="2" applyFont="1" applyAlignment="1" applyProtection="1">
      <alignment horizontal="left"/>
    </xf>
    <xf numFmtId="0" fontId="17" fillId="0" borderId="0" xfId="6" applyProtection="1"/>
    <xf numFmtId="0" fontId="15" fillId="0" borderId="0" xfId="2" applyFont="1" applyProtection="1"/>
    <xf numFmtId="0" fontId="18" fillId="0" borderId="0" xfId="2" applyFont="1" applyProtection="1"/>
    <xf numFmtId="0" fontId="18" fillId="0" borderId="0" xfId="2" applyFont="1" applyAlignment="1" applyProtection="1"/>
    <xf numFmtId="0" fontId="3" fillId="0" borderId="0" xfId="2" applyNumberFormat="1" applyFont="1" applyProtection="1"/>
    <xf numFmtId="166" fontId="3" fillId="0" borderId="0" xfId="2" applyNumberFormat="1" applyFont="1" applyProtection="1"/>
    <xf numFmtId="0" fontId="10" fillId="0" borderId="12" xfId="5" applyFont="1" applyBorder="1" applyAlignment="1" applyProtection="1">
      <alignment horizontal="center"/>
    </xf>
    <xf numFmtId="168" fontId="10" fillId="0" borderId="12" xfId="5" applyNumberFormat="1" applyFont="1" applyBorder="1" applyAlignment="1" applyProtection="1">
      <alignment horizontal="center"/>
    </xf>
    <xf numFmtId="0" fontId="39" fillId="0" borderId="0" xfId="3"/>
    <xf numFmtId="0" fontId="15" fillId="0" borderId="0" xfId="3" applyFont="1"/>
    <xf numFmtId="0" fontId="39" fillId="0" borderId="12" xfId="3" applyBorder="1"/>
    <xf numFmtId="0" fontId="41" fillId="0" borderId="12" xfId="3" applyFont="1" applyBorder="1" applyProtection="1">
      <protection locked="0"/>
    </xf>
    <xf numFmtId="11" fontId="41" fillId="0" borderId="12" xfId="3" applyNumberFormat="1" applyFont="1" applyBorder="1" applyProtection="1">
      <protection locked="0"/>
    </xf>
    <xf numFmtId="0" fontId="39" fillId="0" borderId="12" xfId="3" applyFont="1" applyBorder="1" applyProtection="1"/>
    <xf numFmtId="0" fontId="39" fillId="0" borderId="0" xfId="3" applyFont="1"/>
    <xf numFmtId="0" fontId="39" fillId="0" borderId="1" xfId="3" applyBorder="1"/>
    <xf numFmtId="0" fontId="39" fillId="0" borderId="2" xfId="3" applyBorder="1"/>
    <xf numFmtId="0" fontId="39" fillId="0" borderId="4" xfId="3" applyBorder="1"/>
    <xf numFmtId="0" fontId="39" fillId="0" borderId="13" xfId="3" applyBorder="1"/>
    <xf numFmtId="0" fontId="39" fillId="0" borderId="0" xfId="3" applyBorder="1"/>
    <xf numFmtId="0" fontId="39" fillId="0" borderId="14" xfId="3" applyBorder="1"/>
    <xf numFmtId="0" fontId="39" fillId="0" borderId="5" xfId="3" applyBorder="1"/>
    <xf numFmtId="0" fontId="39" fillId="0" borderId="6" xfId="3" applyBorder="1"/>
    <xf numFmtId="0" fontId="39" fillId="0" borderId="8" xfId="3" applyBorder="1"/>
    <xf numFmtId="0" fontId="42" fillId="0" borderId="0" xfId="3" applyFont="1" applyProtection="1">
      <protection locked="0"/>
    </xf>
    <xf numFmtId="0" fontId="3" fillId="0" borderId="0" xfId="3" applyFont="1"/>
    <xf numFmtId="14" fontId="3" fillId="0" borderId="0" xfId="0" applyNumberFormat="1" applyFont="1"/>
  </cellXfs>
  <cellStyles count="18"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_Actcoeff" xfId="1" xr:uid="{00000000-0005-0000-0000-00000B000000}"/>
    <cellStyle name="Normal_aij-unifac" xfId="2" xr:uid="{00000000-0005-0000-0000-00000C000000}"/>
    <cellStyle name="Normal_nrtlaug11" xfId="3" xr:uid="{00000000-0005-0000-0000-00000D000000}"/>
    <cellStyle name="Normal_Regular" xfId="4" xr:uid="{00000000-0005-0000-0000-00000E000000}"/>
    <cellStyle name="Normal_unifac" xfId="5" xr:uid="{00000000-0005-0000-0000-00000F000000}"/>
    <cellStyle name="Normal_unifac_1" xfId="6" xr:uid="{00000000-0005-0000-0000-000010000000}"/>
    <cellStyle name="Normal_UNIQUAC5" xfId="7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59741660261001"/>
          <c:y val="0.122049520816136"/>
          <c:w val="0.78139292403614802"/>
          <c:h val="0.5560033726068399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Regular!$B$23:$O$23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353.24944412400248</c:v>
                </c:pt>
                <c:pt idx="1">
                  <c:v>347.54199618187357</c:v>
                </c:pt>
                <c:pt idx="2">
                  <c:v>343.53516626418633</c:v>
                </c:pt>
                <c:pt idx="3">
                  <c:v>338.7873661067195</c:v>
                </c:pt>
                <c:pt idx="4">
                  <c:v>332.77230370337787</c:v>
                </c:pt>
                <c:pt idx="5">
                  <c:v>328.13092185097713</c:v>
                </c:pt>
                <c:pt idx="6">
                  <c:v>327.20056449507689</c:v>
                </c:pt>
                <c:pt idx="7">
                  <c:v>326.28446968306304</c:v>
                </c:pt>
                <c:pt idx="8">
                  <c:v>326.51355866430913</c:v>
                </c:pt>
                <c:pt idx="9">
                  <c:v>326.05156062611064</c:v>
                </c:pt>
                <c:pt idx="10">
                  <c:v>324.35300375485554</c:v>
                </c:pt>
                <c:pt idx="11">
                  <c:v>328.12930409461444</c:v>
                </c:pt>
                <c:pt idx="12">
                  <c:v>328.12296939939716</c:v>
                </c:pt>
                <c:pt idx="13">
                  <c:v>337.69756308826925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F0-7D43-BC70-FA66BB0F3DC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Regular!$B$28:$O$28</c:f>
              <c:numCache>
                <c:formatCode>General</c:formatCode>
                <c:ptCount val="14"/>
                <c:pt idx="0">
                  <c:v>0</c:v>
                </c:pt>
                <c:pt idx="1">
                  <c:v>0.18523807606481901</c:v>
                </c:pt>
                <c:pt idx="2">
                  <c:v>0.30110019978909031</c:v>
                </c:pt>
                <c:pt idx="3">
                  <c:v>0.42490450918554279</c:v>
                </c:pt>
                <c:pt idx="4">
                  <c:v>0.56413292160300499</c:v>
                </c:pt>
                <c:pt idx="5">
                  <c:v>0.6635958059604512</c:v>
                </c:pt>
                <c:pt idx="6">
                  <c:v>0.68426254011950605</c:v>
                </c:pt>
                <c:pt idx="7">
                  <c:v>0.70609242119422044</c:v>
                </c:pt>
                <c:pt idx="8">
                  <c:v>0.6668775292468565</c:v>
                </c:pt>
                <c:pt idx="9">
                  <c:v>0.62387464473882026</c:v>
                </c:pt>
                <c:pt idx="10">
                  <c:v>0.55592059370370883</c:v>
                </c:pt>
                <c:pt idx="11">
                  <c:v>0.66337888032750214</c:v>
                </c:pt>
                <c:pt idx="12">
                  <c:v>0.66318930258351361</c:v>
                </c:pt>
                <c:pt idx="13">
                  <c:v>0.99999333150316094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353.24944412400248</c:v>
                </c:pt>
                <c:pt idx="1">
                  <c:v>347.54199618187357</c:v>
                </c:pt>
                <c:pt idx="2">
                  <c:v>343.53516626418633</c:v>
                </c:pt>
                <c:pt idx="3">
                  <c:v>338.7873661067195</c:v>
                </c:pt>
                <c:pt idx="4">
                  <c:v>332.77230370337787</c:v>
                </c:pt>
                <c:pt idx="5">
                  <c:v>328.13092185097713</c:v>
                </c:pt>
                <c:pt idx="6">
                  <c:v>327.20056449507689</c:v>
                </c:pt>
                <c:pt idx="7">
                  <c:v>326.28446968306304</c:v>
                </c:pt>
                <c:pt idx="8">
                  <c:v>326.51355866430913</c:v>
                </c:pt>
                <c:pt idx="9">
                  <c:v>326.05156062611064</c:v>
                </c:pt>
                <c:pt idx="10">
                  <c:v>324.35300375485554</c:v>
                </c:pt>
                <c:pt idx="11">
                  <c:v>328.12930409461444</c:v>
                </c:pt>
                <c:pt idx="12">
                  <c:v>328.12296939939716</c:v>
                </c:pt>
                <c:pt idx="13">
                  <c:v>337.69756308826925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F0-7D43-BC70-FA66BB0F3DC1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F0-7D43-BC70-FA66BB0F3DC1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</c:v>
                </c:pt>
                <c:pt idx="1">
                  <c:v>0.26700000000000002</c:v>
                </c:pt>
                <c:pt idx="2">
                  <c:v>0.371</c:v>
                </c:pt>
                <c:pt idx="3">
                  <c:v>0.45700000000000002</c:v>
                </c:pt>
                <c:pt idx="4">
                  <c:v>0.52600000000000002</c:v>
                </c:pt>
                <c:pt idx="6">
                  <c:v>0.55900000000000005</c:v>
                </c:pt>
                <c:pt idx="7">
                  <c:v>0.59499999999999997</c:v>
                </c:pt>
                <c:pt idx="8">
                  <c:v>0.63300000000000001</c:v>
                </c:pt>
                <c:pt idx="9">
                  <c:v>0.66500000000000004</c:v>
                </c:pt>
                <c:pt idx="10">
                  <c:v>0.76</c:v>
                </c:pt>
                <c:pt idx="12">
                  <c:v>0.90700000000000003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F0-7D43-BC70-FA66BB0F3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066072"/>
        <c:axId val="2088075560"/>
      </c:scatterChart>
      <c:valAx>
        <c:axId val="208806607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27386430275391"/>
              <c:y val="0.82270412144427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075560"/>
        <c:crosses val="autoZero"/>
        <c:crossBetween val="midCat"/>
      </c:valAx>
      <c:valAx>
        <c:axId val="2088075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3.44416167068054E-2"/>
              <c:y val="0.32546546546546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066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952644041042"/>
          <c:y val="0.10747480087541"/>
          <c:w val="0.75769534333070299"/>
          <c:h val="0.6090238716273219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Regular!$B$40:$O$40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353.24941837176107</c:v>
                </c:pt>
                <c:pt idx="1">
                  <c:v>349.90448173018666</c:v>
                </c:pt>
                <c:pt idx="2">
                  <c:v>347.34006359568258</c:v>
                </c:pt>
                <c:pt idx="3">
                  <c:v>344.03700173529143</c:v>
                </c:pt>
                <c:pt idx="4">
                  <c:v>339.31701864409479</c:v>
                </c:pt>
                <c:pt idx="5">
                  <c:v>334.9080466170854</c:v>
                </c:pt>
                <c:pt idx="6">
                  <c:v>333.79345601344033</c:v>
                </c:pt>
                <c:pt idx="7">
                  <c:v>331.53183312834597</c:v>
                </c:pt>
                <c:pt idx="8">
                  <c:v>331.31734797112767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334.47963398826869</c:v>
                </c:pt>
                <c:pt idx="13">
                  <c:v>337.69756369680414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37-0D48-94EC-16CDD8B32DE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Regular!$B$45:$O$45</c:f>
              <c:numCache>
                <c:formatCode>General</c:formatCode>
                <c:ptCount val="14"/>
                <c:pt idx="0">
                  <c:v>0</c:v>
                </c:pt>
                <c:pt idx="1">
                  <c:v>0.12170327389226415</c:v>
                </c:pt>
                <c:pt idx="2">
                  <c:v>0.20945461254557959</c:v>
                </c:pt>
                <c:pt idx="3">
                  <c:v>0.31606815221694556</c:v>
                </c:pt>
                <c:pt idx="4">
                  <c:v>0.4578103374498701</c:v>
                </c:pt>
                <c:pt idx="5">
                  <c:v>0.5838637083648438</c:v>
                </c:pt>
                <c:pt idx="6">
                  <c:v>0.61653194998048066</c:v>
                </c:pt>
                <c:pt idx="7">
                  <c:v>0.69585068800872807</c:v>
                </c:pt>
                <c:pt idx="8">
                  <c:v>0.7134724174738527</c:v>
                </c:pt>
                <c:pt idx="9">
                  <c:v>0.71681038959056209</c:v>
                </c:pt>
                <c:pt idx="10">
                  <c:v>0.74072331548304171</c:v>
                </c:pt>
                <c:pt idx="11">
                  <c:v>0.85950871311427757</c:v>
                </c:pt>
                <c:pt idx="12">
                  <c:v>0.85939512651294026</c:v>
                </c:pt>
                <c:pt idx="13">
                  <c:v>0.99999335545013823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353.24941837176107</c:v>
                </c:pt>
                <c:pt idx="1">
                  <c:v>349.90448173018666</c:v>
                </c:pt>
                <c:pt idx="2">
                  <c:v>347.34006359568258</c:v>
                </c:pt>
                <c:pt idx="3">
                  <c:v>344.03700173529143</c:v>
                </c:pt>
                <c:pt idx="4">
                  <c:v>339.31701864409479</c:v>
                </c:pt>
                <c:pt idx="5">
                  <c:v>334.9080466170854</c:v>
                </c:pt>
                <c:pt idx="6">
                  <c:v>333.79345601344033</c:v>
                </c:pt>
                <c:pt idx="7">
                  <c:v>331.53183312834597</c:v>
                </c:pt>
                <c:pt idx="8">
                  <c:v>331.31734797112767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334.47963398826869</c:v>
                </c:pt>
                <c:pt idx="13">
                  <c:v>337.69756369680414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37-0D48-94EC-16CDD8B32DED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37-0D48-94EC-16CDD8B32DED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</c:v>
                </c:pt>
                <c:pt idx="1">
                  <c:v>0.26700000000000002</c:v>
                </c:pt>
                <c:pt idx="2">
                  <c:v>0.371</c:v>
                </c:pt>
                <c:pt idx="3">
                  <c:v>0.45700000000000002</c:v>
                </c:pt>
                <c:pt idx="4">
                  <c:v>0.52600000000000002</c:v>
                </c:pt>
                <c:pt idx="6">
                  <c:v>0.55900000000000005</c:v>
                </c:pt>
                <c:pt idx="7">
                  <c:v>0.59499999999999997</c:v>
                </c:pt>
                <c:pt idx="8">
                  <c:v>0.63300000000000001</c:v>
                </c:pt>
                <c:pt idx="9">
                  <c:v>0.66500000000000004</c:v>
                </c:pt>
                <c:pt idx="10">
                  <c:v>0.76</c:v>
                </c:pt>
                <c:pt idx="12">
                  <c:v>0.90700000000000003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37-0D48-94EC-16CDD8B32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154696"/>
        <c:axId val="2088162872"/>
      </c:scatterChart>
      <c:valAx>
        <c:axId val="208815469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06"/>
              <c:y val="0.8438761489475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62872"/>
        <c:crosses val="autoZero"/>
        <c:crossBetween val="midCat"/>
      </c:valAx>
      <c:valAx>
        <c:axId val="2088162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3.7884874319788001E-2"/>
              <c:y val="0.346307368949399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54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1365430149999"/>
          <c:y val="0.120556414219474"/>
          <c:w val="0.77426992896606095"/>
          <c:h val="0.5703245749613600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Regular!$B$56:$O$56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345.76977056227628</c:v>
                </c:pt>
                <c:pt idx="2">
                  <c:v>341.64014571246003</c:v>
                </c:pt>
                <c:pt idx="3">
                  <c:v>337.67384081078308</c:v>
                </c:pt>
                <c:pt idx="4">
                  <c:v>333.90829254682114</c:v>
                </c:pt>
                <c:pt idx="5">
                  <c:v>332.02847564692098</c:v>
                </c:pt>
                <c:pt idx="6">
                  <c:v>331.78128690905118</c:v>
                </c:pt>
                <c:pt idx="7">
                  <c:v>331.47265343586326</c:v>
                </c:pt>
                <c:pt idx="8">
                  <c:v>331.52901018785423</c:v>
                </c:pt>
                <c:pt idx="9">
                  <c:v>331.89970980015408</c:v>
                </c:pt>
                <c:pt idx="10">
                  <c:v>333.58139769958552</c:v>
                </c:pt>
                <c:pt idx="11">
                  <c:v>336.21267934497672</c:v>
                </c:pt>
                <c:pt idx="12">
                  <c:v>336.21109686608173</c:v>
                </c:pt>
                <c:pt idx="13">
                  <c:v>337.69756369680567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AE-2E47-A8E1-DA87B21DB62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Regular!$B$61:$O$61</c:f>
              <c:numCache>
                <c:formatCode>General</c:formatCode>
                <c:ptCount val="14"/>
                <c:pt idx="0">
                  <c:v>0</c:v>
                </c:pt>
                <c:pt idx="1">
                  <c:v>0.22972359109167673</c:v>
                </c:pt>
                <c:pt idx="2">
                  <c:v>0.34095794753461306</c:v>
                </c:pt>
                <c:pt idx="3">
                  <c:v>0.44032709152153826</c:v>
                </c:pt>
                <c:pt idx="4">
                  <c:v>0.53102807376922501</c:v>
                </c:pt>
                <c:pt idx="5">
                  <c:v>0.58022038272507581</c:v>
                </c:pt>
                <c:pt idx="6">
                  <c:v>0.58830805428710253</c:v>
                </c:pt>
                <c:pt idx="7">
                  <c:v>0.60574856427327572</c:v>
                </c:pt>
                <c:pt idx="8">
                  <c:v>0.6334876342480783</c:v>
                </c:pt>
                <c:pt idx="9">
                  <c:v>0.66913345201255481</c:v>
                </c:pt>
                <c:pt idx="10">
                  <c:v>0.774548803002859</c:v>
                </c:pt>
                <c:pt idx="11">
                  <c:v>0.91856333050173999</c:v>
                </c:pt>
                <c:pt idx="12">
                  <c:v>0.91847726197584723</c:v>
                </c:pt>
                <c:pt idx="13">
                  <c:v>0.99999335545019952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345.76977056227628</c:v>
                </c:pt>
                <c:pt idx="2">
                  <c:v>341.64014571246003</c:v>
                </c:pt>
                <c:pt idx="3">
                  <c:v>337.67384081078308</c:v>
                </c:pt>
                <c:pt idx="4">
                  <c:v>333.90829254682114</c:v>
                </c:pt>
                <c:pt idx="5">
                  <c:v>332.02847564692098</c:v>
                </c:pt>
                <c:pt idx="6">
                  <c:v>331.78128690905118</c:v>
                </c:pt>
                <c:pt idx="7">
                  <c:v>331.47265343586326</c:v>
                </c:pt>
                <c:pt idx="8">
                  <c:v>331.52901018785423</c:v>
                </c:pt>
                <c:pt idx="9">
                  <c:v>331.89970980015408</c:v>
                </c:pt>
                <c:pt idx="10">
                  <c:v>333.58139769958552</c:v>
                </c:pt>
                <c:pt idx="11">
                  <c:v>336.21267934497672</c:v>
                </c:pt>
                <c:pt idx="12">
                  <c:v>336.21109686608173</c:v>
                </c:pt>
                <c:pt idx="13">
                  <c:v>337.69756369680567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AE-2E47-A8E1-DA87B21DB620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AE-2E47-A8E1-DA87B21DB620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</c:v>
                </c:pt>
                <c:pt idx="1">
                  <c:v>0.26700000000000002</c:v>
                </c:pt>
                <c:pt idx="2">
                  <c:v>0.371</c:v>
                </c:pt>
                <c:pt idx="3">
                  <c:v>0.45700000000000002</c:v>
                </c:pt>
                <c:pt idx="4">
                  <c:v>0.52600000000000002</c:v>
                </c:pt>
                <c:pt idx="6">
                  <c:v>0.55900000000000005</c:v>
                </c:pt>
                <c:pt idx="7">
                  <c:v>0.59499999999999997</c:v>
                </c:pt>
                <c:pt idx="8">
                  <c:v>0.63300000000000001</c:v>
                </c:pt>
                <c:pt idx="9">
                  <c:v>0.66500000000000004</c:v>
                </c:pt>
                <c:pt idx="10">
                  <c:v>0.76</c:v>
                </c:pt>
                <c:pt idx="12">
                  <c:v>0.90700000000000003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AAE-2E47-A8E1-DA87B21DB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204840"/>
        <c:axId val="2088212936"/>
      </c:scatterChart>
      <c:valAx>
        <c:axId val="208820484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06"/>
              <c:y val="0.82998474027955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12936"/>
        <c:crosses val="autoZero"/>
        <c:crossBetween val="midCat"/>
      </c:valAx>
      <c:valAx>
        <c:axId val="2088212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3.7884874319788001E-2"/>
              <c:y val="0.34312201672465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04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68949644023301"/>
          <c:y val="5.4158658500304602E-2"/>
          <c:w val="0.74233277082688398"/>
          <c:h val="0.79303749946874602"/>
        </c:manualLayout>
      </c:layout>
      <c:scatterChart>
        <c:scatterStyle val="smoothMarker"/>
        <c:varyColors val="0"/>
        <c:ser>
          <c:idx val="0"/>
          <c:order val="0"/>
          <c:tx>
            <c:v>gamma1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NRTL!$D$8:$D$28</c:f>
              <c:numCache>
                <c:formatCode>General</c:formatCode>
                <c:ptCount val="21"/>
                <c:pt idx="0">
                  <c:v>3.5162213412928449</c:v>
                </c:pt>
                <c:pt idx="1">
                  <c:v>3.1046529659059239</c:v>
                </c:pt>
                <c:pt idx="2">
                  <c:v>2.7603839063313402</c:v>
                </c:pt>
                <c:pt idx="3">
                  <c:v>2.4711096386763343</c:v>
                </c:pt>
                <c:pt idx="4">
                  <c:v>2.2270606035492984</c:v>
                </c:pt>
                <c:pt idx="5">
                  <c:v>2.0204387704530311</c:v>
                </c:pt>
                <c:pt idx="6">
                  <c:v>1.844989098095063</c:v>
                </c:pt>
                <c:pt idx="7">
                  <c:v>1.6956717176001468</c:v>
                </c:pt>
                <c:pt idx="8">
                  <c:v>1.5684098079557436</c:v>
                </c:pt>
                <c:pt idx="9">
                  <c:v>1.4598947180787383</c:v>
                </c:pt>
                <c:pt idx="10">
                  <c:v>1.3674346645894071</c:v>
                </c:pt>
                <c:pt idx="11">
                  <c:v>1.288836819377158</c:v>
                </c:pt>
                <c:pt idx="12">
                  <c:v>1.2223151617814934</c:v>
                </c:pt>
                <c:pt idx="13">
                  <c:v>1.1664183649555311</c:v>
                </c:pt>
                <c:pt idx="14">
                  <c:v>1.1199733985402323</c:v>
                </c:pt>
                <c:pt idx="15">
                  <c:v>1.0820415919629587</c:v>
                </c:pt>
                <c:pt idx="16">
                  <c:v>1.0518847098044506</c:v>
                </c:pt>
                <c:pt idx="17">
                  <c:v>1.0289392124028436</c:v>
                </c:pt>
                <c:pt idx="18">
                  <c:v>1.0127973627769944</c:v>
                </c:pt>
                <c:pt idx="19">
                  <c:v>1.0031942340335018</c:v>
                </c:pt>
                <c:pt idx="2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31-4942-AA49-74F5EF0BBCC9}"/>
            </c:ext>
          </c:extLst>
        </c:ser>
        <c:ser>
          <c:idx val="1"/>
          <c:order val="1"/>
          <c:tx>
            <c:v>gamma2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NRTL!$E$8:$E$28</c:f>
              <c:numCache>
                <c:formatCode>General</c:formatCode>
                <c:ptCount val="21"/>
                <c:pt idx="0">
                  <c:v>1</c:v>
                </c:pt>
                <c:pt idx="1">
                  <c:v>1.0031942340335018</c:v>
                </c:pt>
                <c:pt idx="2">
                  <c:v>1.0127973627769944</c:v>
                </c:pt>
                <c:pt idx="3">
                  <c:v>1.0289392124028436</c:v>
                </c:pt>
                <c:pt idx="4">
                  <c:v>1.0518847098044506</c:v>
                </c:pt>
                <c:pt idx="5">
                  <c:v>1.0820415919629587</c:v>
                </c:pt>
                <c:pt idx="6">
                  <c:v>1.1199733985402323</c:v>
                </c:pt>
                <c:pt idx="7">
                  <c:v>1.1664183649555311</c:v>
                </c:pt>
                <c:pt idx="8">
                  <c:v>1.2223151617814934</c:v>
                </c:pt>
                <c:pt idx="9">
                  <c:v>1.288836819377158</c:v>
                </c:pt>
                <c:pt idx="10">
                  <c:v>1.3674346645894071</c:v>
                </c:pt>
                <c:pt idx="11">
                  <c:v>1.4598947180787383</c:v>
                </c:pt>
                <c:pt idx="12">
                  <c:v>1.5684098079557436</c:v>
                </c:pt>
                <c:pt idx="13">
                  <c:v>1.6956717176001468</c:v>
                </c:pt>
                <c:pt idx="14">
                  <c:v>1.844989098095063</c:v>
                </c:pt>
                <c:pt idx="15">
                  <c:v>2.0204387704530311</c:v>
                </c:pt>
                <c:pt idx="16">
                  <c:v>2.2270606035492984</c:v>
                </c:pt>
                <c:pt idx="17">
                  <c:v>2.4711096386763343</c:v>
                </c:pt>
                <c:pt idx="18">
                  <c:v>2.7603839063313402</c:v>
                </c:pt>
                <c:pt idx="19">
                  <c:v>3.1046529659059239</c:v>
                </c:pt>
                <c:pt idx="20">
                  <c:v>3.5162213412928449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31-4942-AA49-74F5EF0BB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264008"/>
        <c:axId val="2088270072"/>
      </c:scatterChart>
      <c:valAx>
        <c:axId val="208826400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x1</a:t>
                </a:r>
              </a:p>
            </c:rich>
          </c:tx>
          <c:layout>
            <c:manualLayout>
              <c:xMode val="edge"/>
              <c:yMode val="edge"/>
              <c:x val="0.51329345861583497"/>
              <c:y val="0.916828718898012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70072"/>
        <c:crosses val="autoZero"/>
        <c:crossBetween val="midCat"/>
      </c:valAx>
      <c:valAx>
        <c:axId val="2088270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gamma</a:t>
                </a:r>
              </a:p>
            </c:rich>
          </c:tx>
          <c:layout>
            <c:manualLayout>
              <c:xMode val="edge"/>
              <c:yMode val="edge"/>
              <c:x val="3.0674907885408501E-2"/>
              <c:y val="0.390716036323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64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94932449299501"/>
          <c:y val="0.10058036578628"/>
          <c:w val="0.175869471876342"/>
          <c:h val="8.31722255540392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48180968209199"/>
          <c:y val="0.10175473463108101"/>
          <c:w val="0.76851990834763495"/>
          <c:h val="0.6491250312672399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LLE!$B$4:$B$24</c:f>
              <c:numCache>
                <c:formatCode>General_)</c:formatCode>
                <c:ptCount val="21"/>
                <c:pt idx="0">
                  <c:v>0</c:v>
                </c:pt>
                <c:pt idx="1">
                  <c:v>-5.8526263184391143E-2</c:v>
                </c:pt>
                <c:pt idx="2">
                  <c:v>-7.3170809828983552E-2</c:v>
                </c:pt>
                <c:pt idx="3">
                  <c:v>-7.9417118711015908E-2</c:v>
                </c:pt>
                <c:pt idx="4">
                  <c:v>-8.1901861537314949E-2</c:v>
                </c:pt>
                <c:pt idx="5">
                  <c:v>-8.2054004240710993E-2</c:v>
                </c:pt>
                <c:pt idx="6">
                  <c:v>-8.044320908797177E-2</c:v>
                </c:pt>
                <c:pt idx="7">
                  <c:v>-7.7358534263080925E-2</c:v>
                </c:pt>
                <c:pt idx="8">
                  <c:v>-7.3001069019793405E-2</c:v>
                </c:pt>
                <c:pt idx="9">
                  <c:v>-6.7561760684280298E-2</c:v>
                </c:pt>
                <c:pt idx="10">
                  <c:v>-6.1259330978385027E-2</c:v>
                </c:pt>
                <c:pt idx="11">
                  <c:v>-5.4363498549103328E-2</c:v>
                </c:pt>
                <c:pt idx="12">
                  <c:v>-4.7213104265483051E-2</c:v>
                </c:pt>
                <c:pt idx="13">
                  <c:v>-4.0232618283381948E-2</c:v>
                </c:pt>
                <c:pt idx="14">
                  <c:v>-3.3946561598639298E-2</c:v>
                </c:pt>
                <c:pt idx="15">
                  <c:v>-2.8985335936918568E-2</c:v>
                </c:pt>
                <c:pt idx="16">
                  <c:v>-2.6060103502693714E-2</c:v>
                </c:pt>
                <c:pt idx="17">
                  <c:v>-2.5832673179705622E-2</c:v>
                </c:pt>
                <c:pt idx="18">
                  <c:v>-2.8400945527763444E-2</c:v>
                </c:pt>
                <c:pt idx="19">
                  <c:v>-3.0971603907365523E-2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72-7946-A786-FE4644575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443256"/>
        <c:axId val="2088450296"/>
      </c:scatterChart>
      <c:valAx>
        <c:axId val="2088443256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4629717496033903"/>
              <c:y val="0.84561698208776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450296"/>
        <c:crossesAt val="-0.2"/>
        <c:crossBetween val="midCat"/>
        <c:majorUnit val="0.1"/>
        <c:minorUnit val="0.05"/>
      </c:valAx>
      <c:valAx>
        <c:axId val="208845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Gm/RT</a:t>
                </a:r>
              </a:p>
            </c:rich>
          </c:tx>
          <c:layout>
            <c:manualLayout>
              <c:xMode val="edge"/>
              <c:yMode val="edge"/>
              <c:x val="2.9629586505013999E-2"/>
              <c:y val="0.32982566652852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4432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5" l="1.25" r="1.25" t="1.5" header="0.5" footer="0.5"/>
    <c:pageSetup orientation="portrait" blackAndWhite="1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9641081162799"/>
          <c:y val="9.2356687898089193E-2"/>
          <c:w val="0.79742316525517398"/>
          <c:h val="0.6815286624203830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LLE!$E$4:$E$24</c:f>
              <c:numCache>
                <c:formatCode>General_)</c:formatCode>
                <c:ptCount val="21"/>
                <c:pt idx="0">
                  <c:v>0</c:v>
                </c:pt>
                <c:pt idx="1">
                  <c:v>0.61026432828693755</c:v>
                </c:pt>
                <c:pt idx="2">
                  <c:v>0.78862555732243367</c:v>
                </c:pt>
                <c:pt idx="3">
                  <c:v>0.86296523360381849</c:v>
                </c:pt>
                <c:pt idx="4">
                  <c:v>0.90409027068558112</c:v>
                </c:pt>
                <c:pt idx="5">
                  <c:v>0.93222111721580814</c:v>
                </c:pt>
                <c:pt idx="6">
                  <c:v>0.95403543806710378</c:v>
                </c:pt>
                <c:pt idx="7">
                  <c:v>0.97182309906526598</c:v>
                </c:pt>
                <c:pt idx="8">
                  <c:v>0.98627329929233643</c:v>
                </c:pt>
                <c:pt idx="9">
                  <c:v>0.9974616196302265</c:v>
                </c:pt>
                <c:pt idx="10">
                  <c:v>1.0052471654132611</c:v>
                </c:pt>
                <c:pt idx="11">
                  <c:v>1.0094566380036247</c:v>
                </c:pt>
                <c:pt idx="12">
                  <c:v>1.0099893169647214</c:v>
                </c:pt>
                <c:pt idx="13">
                  <c:v>1.0068981576656892</c:v>
                </c:pt>
                <c:pt idx="14">
                  <c:v>1.0004766312025006</c:v>
                </c:pt>
                <c:pt idx="15">
                  <c:v>0.99137730846246774</c:v>
                </c:pt>
                <c:pt idx="16">
                  <c:v>0.98080075512216336</c:v>
                </c:pt>
                <c:pt idx="17">
                  <c:v>0.97083217607706018</c:v>
                </c:pt>
                <c:pt idx="18">
                  <c:v>0.96510827683892353</c:v>
                </c:pt>
                <c:pt idx="19">
                  <c:v>0.97030549125687682</c:v>
                </c:pt>
                <c:pt idx="20">
                  <c:v>1.0000000000105798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E2-F548-9DD6-09BA80EC3296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LLE!$F$4:$F$24</c:f>
              <c:numCache>
                <c:formatCode>General_)</c:formatCode>
                <c:ptCount val="21"/>
                <c:pt idx="0">
                  <c:v>1</c:v>
                </c:pt>
                <c:pt idx="1">
                  <c:v>0.96501291087949437</c:v>
                </c:pt>
                <c:pt idx="2">
                  <c:v>0.94656460885371252</c:v>
                </c:pt>
                <c:pt idx="3">
                  <c:v>0.93479921618924078</c:v>
                </c:pt>
                <c:pt idx="4">
                  <c:v>0.925731715620421</c:v>
                </c:pt>
                <c:pt idx="5">
                  <c:v>0.91758481835481887</c:v>
                </c:pt>
                <c:pt idx="6">
                  <c:v>0.90959787532627634</c:v>
                </c:pt>
                <c:pt idx="7">
                  <c:v>0.90156503535352039</c:v>
                </c:pt>
                <c:pt idx="8">
                  <c:v>0.89363851932014249</c:v>
                </c:pt>
                <c:pt idx="9">
                  <c:v>0.88624657315857669</c:v>
                </c:pt>
                <c:pt idx="10">
                  <c:v>0.88007151394501937</c:v>
                </c:pt>
                <c:pt idx="11">
                  <c:v>0.87606798786653295</c:v>
                </c:pt>
                <c:pt idx="12">
                  <c:v>0.87551552826017787</c:v>
                </c:pt>
                <c:pt idx="13">
                  <c:v>0.88010222044219633</c:v>
                </c:pt>
                <c:pt idx="14">
                  <c:v>0.89201968358586436</c:v>
                </c:pt>
                <c:pt idx="15">
                  <c:v>0.9139667400408561</c:v>
                </c:pt>
                <c:pt idx="16">
                  <c:v>0.94861074163709913</c:v>
                </c:pt>
                <c:pt idx="17">
                  <c:v>0.99553492721594239</c:v>
                </c:pt>
                <c:pt idx="18">
                  <c:v>1.0362675510003589</c:v>
                </c:pt>
                <c:pt idx="19">
                  <c:v>0.95438316928185174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E2-F548-9DD6-09BA80EC3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493928"/>
        <c:axId val="2088500296"/>
      </c:scatterChart>
      <c:valAx>
        <c:axId val="208849392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3407094831378099"/>
              <c:y val="0.859872515935507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500296"/>
        <c:crosses val="autoZero"/>
        <c:crossBetween val="midCat"/>
        <c:majorUnit val="0.1"/>
        <c:minorUnit val="0.05"/>
      </c:valAx>
      <c:valAx>
        <c:axId val="2088500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Symbol"/>
                  </a:rPr>
                  <a:t>g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</a:p>
            </c:rich>
          </c:tx>
          <c:layout>
            <c:manualLayout>
              <c:xMode val="edge"/>
              <c:yMode val="edge"/>
              <c:x val="2.5782688766114201E-2"/>
              <c:y val="0.38853509977919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49392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20</xdr:row>
      <xdr:rowOff>133350</xdr:rowOff>
    </xdr:from>
    <xdr:to>
      <xdr:col>22</xdr:col>
      <xdr:colOff>419100</xdr:colOff>
      <xdr:row>31</xdr:row>
      <xdr:rowOff>161925</xdr:rowOff>
    </xdr:to>
    <xdr:graphicFrame macro="">
      <xdr:nvGraphicFramePr>
        <xdr:cNvPr id="4115" name="Chart 7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361950</xdr:colOff>
      <xdr:row>38</xdr:row>
      <xdr:rowOff>66675</xdr:rowOff>
    </xdr:from>
    <xdr:to>
      <xdr:col>22</xdr:col>
      <xdr:colOff>219075</xdr:colOff>
      <xdr:row>51</xdr:row>
      <xdr:rowOff>57150</xdr:rowOff>
    </xdr:to>
    <xdr:graphicFrame macro="">
      <xdr:nvGraphicFramePr>
        <xdr:cNvPr id="4116" name="Chart 8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361950</xdr:colOff>
      <xdr:row>54</xdr:row>
      <xdr:rowOff>161925</xdr:rowOff>
    </xdr:from>
    <xdr:to>
      <xdr:col>22</xdr:col>
      <xdr:colOff>219075</xdr:colOff>
      <xdr:row>65</xdr:row>
      <xdr:rowOff>76200</xdr:rowOff>
    </xdr:to>
    <xdr:graphicFrame macro="">
      <xdr:nvGraphicFramePr>
        <xdr:cNvPr id="4117" name="Chart 9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66675</xdr:rowOff>
    </xdr:from>
    <xdr:to>
      <xdr:col>15</xdr:col>
      <xdr:colOff>104775</xdr:colOff>
      <xdr:row>30</xdr:row>
      <xdr:rowOff>142875</xdr:rowOff>
    </xdr:to>
    <xdr:graphicFrame macro="">
      <xdr:nvGraphicFramePr>
        <xdr:cNvPr id="19457" name="Chart 1">
          <a:extLst>
            <a:ext uri="{FF2B5EF4-FFF2-40B4-BE49-F238E27FC236}">
              <a16:creationId xmlns:a16="http://schemas.microsoft.com/office/drawing/2014/main" id="{00000000-0008-0000-0300-000001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28575</xdr:rowOff>
    </xdr:from>
    <xdr:to>
      <xdr:col>8</xdr:col>
      <xdr:colOff>0</xdr:colOff>
      <xdr:row>41</xdr:row>
      <xdr:rowOff>133350</xdr:rowOff>
    </xdr:to>
    <xdr:graphicFrame macro="">
      <xdr:nvGraphicFramePr>
        <xdr:cNvPr id="16385" name="Chart 1">
          <a:extLst>
            <a:ext uri="{FF2B5EF4-FFF2-40B4-BE49-F238E27FC236}">
              <a16:creationId xmlns:a16="http://schemas.microsoft.com/office/drawing/2014/main" id="{00000000-0008-0000-0D00-00000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9525</xdr:rowOff>
    </xdr:from>
    <xdr:to>
      <xdr:col>8</xdr:col>
      <xdr:colOff>0</xdr:colOff>
      <xdr:row>61</xdr:row>
      <xdr:rowOff>104775</xdr:rowOff>
    </xdr:to>
    <xdr:graphicFrame macro="">
      <xdr:nvGraphicFramePr>
        <xdr:cNvPr id="16386" name="Chart 2">
          <a:extLs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0.36947</cdr:x>
      <cdr:y>0.31487</cdr:y>
    </cdr:from>
    <cdr:to>
      <cdr:x>0.93711</cdr:x>
      <cdr:y>0.7112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02477" y="855345"/>
          <a:ext cx="2922887" cy="10766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0.22612</cdr:x>
      <cdr:y>0.26399</cdr:y>
    </cdr:from>
    <cdr:to>
      <cdr:x>0.9476</cdr:x>
      <cdr:y>0.26399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65982" y="792333"/>
          <a:ext cx="372448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0.27251</cdr:x>
      <cdr:y>0.22235</cdr:y>
    </cdr:from>
    <cdr:to>
      <cdr:x>0.96233</cdr:x>
      <cdr:y>0.22235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5041" y="668139"/>
          <a:ext cx="356680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0.44184</cdr:x>
      <cdr:y>0.13254</cdr:y>
    </cdr:from>
    <cdr:to>
      <cdr:x>0.44184</cdr:x>
      <cdr:y>0.38695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79893" y="399415"/>
          <a:ext cx="0" cy="7582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0.9211</cdr:x>
      <cdr:y>0.11947</cdr:y>
    </cdr:from>
    <cdr:to>
      <cdr:x>0.9211</cdr:x>
      <cdr:y>0.3746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54402" y="360196"/>
          <a:ext cx="0" cy="76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39"/>
  <sheetViews>
    <sheetView showGridLines="0" topLeftCell="A6" zoomScale="150" zoomScaleNormal="150" zoomScalePageLayoutView="150" workbookViewId="0">
      <selection activeCell="M13" sqref="M13"/>
    </sheetView>
  </sheetViews>
  <sheetFormatPr baseColWidth="10" defaultColWidth="9.1640625" defaultRowHeight="13"/>
  <cols>
    <col min="1" max="1" width="9.1640625" style="1" customWidth="1"/>
    <col min="2" max="2" width="16.33203125" style="1" customWidth="1"/>
    <col min="3" max="16384" width="9.1640625" style="1"/>
  </cols>
  <sheetData>
    <row r="2" spans="2:3" ht="23">
      <c r="B2" s="2" t="s">
        <v>0</v>
      </c>
    </row>
    <row r="4" spans="2:3">
      <c r="B4" s="1" t="s">
        <v>1</v>
      </c>
    </row>
    <row r="5" spans="2:3">
      <c r="B5" s="1" t="s">
        <v>2</v>
      </c>
    </row>
    <row r="7" spans="2:3">
      <c r="B7" s="1" t="s">
        <v>3</v>
      </c>
      <c r="C7" s="1" t="s">
        <v>4</v>
      </c>
    </row>
    <row r="9" spans="2:3">
      <c r="B9" s="1" t="s">
        <v>5</v>
      </c>
      <c r="C9" s="1" t="s">
        <v>6</v>
      </c>
    </row>
    <row r="10" spans="2:3">
      <c r="C10" s="1" t="s">
        <v>7</v>
      </c>
    </row>
    <row r="12" spans="2:3">
      <c r="B12" s="1" t="s">
        <v>306</v>
      </c>
      <c r="C12" s="1" t="s">
        <v>309</v>
      </c>
    </row>
    <row r="14" spans="2:3">
      <c r="B14" s="1" t="s">
        <v>307</v>
      </c>
      <c r="C14" s="1" t="s">
        <v>308</v>
      </c>
    </row>
    <row r="16" spans="2:3">
      <c r="B16" s="1" t="s">
        <v>8</v>
      </c>
      <c r="C16" s="1" t="s">
        <v>9</v>
      </c>
    </row>
    <row r="18" spans="2:3">
      <c r="B18" s="1" t="s">
        <v>10</v>
      </c>
      <c r="C18" s="1" t="s">
        <v>11</v>
      </c>
    </row>
    <row r="20" spans="2:3">
      <c r="B20" s="1" t="s">
        <v>240</v>
      </c>
      <c r="C20" s="1" t="s">
        <v>241</v>
      </c>
    </row>
    <row r="22" spans="2:3">
      <c r="B22" s="1" t="s">
        <v>12</v>
      </c>
      <c r="C22" s="1" t="s">
        <v>13</v>
      </c>
    </row>
    <row r="23" spans="2:3">
      <c r="C23" s="1" t="s">
        <v>14</v>
      </c>
    </row>
    <row r="25" spans="2:3">
      <c r="B25" s="1" t="s">
        <v>15</v>
      </c>
      <c r="C25" s="1" t="s">
        <v>16</v>
      </c>
    </row>
    <row r="27" spans="2:3">
      <c r="B27" s="1" t="s">
        <v>238</v>
      </c>
      <c r="C27" s="1" t="s">
        <v>239</v>
      </c>
    </row>
    <row r="28" spans="2:3">
      <c r="C28" s="1" t="s">
        <v>17</v>
      </c>
    </row>
    <row r="30" spans="2:3">
      <c r="B30" s="1" t="s">
        <v>18</v>
      </c>
      <c r="C30" s="1" t="s">
        <v>19</v>
      </c>
    </row>
    <row r="32" spans="2:3">
      <c r="B32" s="1" t="s">
        <v>20</v>
      </c>
      <c r="C32" s="1" t="s">
        <v>21</v>
      </c>
    </row>
    <row r="34" spans="2:2">
      <c r="B34" s="1" t="s">
        <v>22</v>
      </c>
    </row>
    <row r="35" spans="2:2">
      <c r="B35" s="1" t="s">
        <v>23</v>
      </c>
    </row>
    <row r="37" spans="2:2">
      <c r="B37" s="1" t="s">
        <v>343</v>
      </c>
    </row>
    <row r="38" spans="2:2">
      <c r="B38" s="1" t="s">
        <v>304</v>
      </c>
    </row>
    <row r="39" spans="2:2">
      <c r="B39" s="1" t="s">
        <v>24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4294967292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/>
  <dimension ref="A1:I32"/>
  <sheetViews>
    <sheetView showGridLines="0" workbookViewId="0">
      <selection activeCell="C1" sqref="C1"/>
    </sheetView>
  </sheetViews>
  <sheetFormatPr baseColWidth="10" defaultColWidth="9.6640625" defaultRowHeight="13"/>
  <cols>
    <col min="1" max="2" width="9.6640625" style="4"/>
    <col min="3" max="16384" width="9.6640625" style="5"/>
  </cols>
  <sheetData>
    <row r="1" spans="1:9">
      <c r="A1" s="3" t="s">
        <v>25</v>
      </c>
    </row>
    <row r="3" spans="1:9" ht="16">
      <c r="B3" s="3" t="s">
        <v>26</v>
      </c>
    </row>
    <row r="4" spans="1:9">
      <c r="B4" s="6" t="s">
        <v>249</v>
      </c>
      <c r="C4" s="7"/>
      <c r="D4" s="8" t="s">
        <v>250</v>
      </c>
      <c r="E4" s="9" t="s">
        <v>251</v>
      </c>
    </row>
    <row r="5" spans="1:9">
      <c r="B5" s="10"/>
      <c r="C5" s="11"/>
      <c r="D5" s="12">
        <v>1.861</v>
      </c>
      <c r="E5" s="13">
        <v>1.6365000000000001</v>
      </c>
    </row>
    <row r="6" spans="1:9">
      <c r="A6" s="14"/>
      <c r="B6" s="15" t="s">
        <v>27</v>
      </c>
      <c r="C6" s="16"/>
      <c r="D6" s="17">
        <v>0.05</v>
      </c>
      <c r="E6" s="18"/>
      <c r="F6" s="18"/>
      <c r="G6" s="18"/>
      <c r="H6" s="18"/>
      <c r="I6" s="18"/>
    </row>
    <row r="7" spans="1:9">
      <c r="A7" s="14"/>
      <c r="B7" s="19"/>
      <c r="C7" s="20"/>
      <c r="D7" s="20"/>
      <c r="E7" s="18"/>
      <c r="F7" s="18"/>
      <c r="G7" s="18"/>
      <c r="H7" s="18"/>
      <c r="I7" s="18"/>
    </row>
    <row r="8" spans="1:9">
      <c r="A8" s="14"/>
      <c r="B8" s="19"/>
      <c r="C8" s="20"/>
      <c r="D8" s="20"/>
      <c r="E8" s="18"/>
      <c r="F8" s="18"/>
      <c r="G8" s="18"/>
      <c r="H8" s="18"/>
      <c r="I8" s="18"/>
    </row>
    <row r="9" spans="1:9">
      <c r="A9" s="14" t="s">
        <v>28</v>
      </c>
      <c r="B9" s="14" t="s">
        <v>29</v>
      </c>
      <c r="C9" s="14" t="s">
        <v>30</v>
      </c>
      <c r="D9" s="14" t="s">
        <v>31</v>
      </c>
      <c r="E9" s="14" t="s">
        <v>32</v>
      </c>
      <c r="F9" s="14" t="s">
        <v>33</v>
      </c>
      <c r="G9" s="14" t="s">
        <v>34</v>
      </c>
      <c r="H9" s="18"/>
      <c r="I9" s="18"/>
    </row>
    <row r="10" spans="1:9">
      <c r="A10" s="21">
        <v>0</v>
      </c>
      <c r="B10" s="14">
        <f t="shared" ref="B10:B30" si="0">1-A$10:A$65536</f>
        <v>1</v>
      </c>
      <c r="C10" s="18">
        <f t="shared" ref="C10:C30" si="1">EXP(x2_^2*(A12_+2*(A21_-A12_)*x1_))</f>
        <v>6.4301637211398397</v>
      </c>
      <c r="D10" s="18">
        <f t="shared" ref="D10:D30" si="2">EXP(x1_^2*(A21_+2*(A12_-A21_)*x2_))</f>
        <v>1</v>
      </c>
      <c r="E10" s="18">
        <f t="shared" ref="E10:E30" si="3">x1_*gamma1_</f>
        <v>0</v>
      </c>
      <c r="F10" s="18">
        <f t="shared" ref="F10:F30" si="4">x2_*gamma2_</f>
        <v>1</v>
      </c>
      <c r="G10" s="22">
        <v>0</v>
      </c>
      <c r="H10" s="18"/>
      <c r="I10" s="18"/>
    </row>
    <row r="11" spans="1:9">
      <c r="A11" s="21">
        <f t="shared" ref="A11:A30" si="5">A10+$D$6</f>
        <v>0.05</v>
      </c>
      <c r="B11" s="14">
        <f t="shared" si="0"/>
        <v>0.95</v>
      </c>
      <c r="C11" s="18">
        <f>EXP(x2_^2*(A12_+2*(A21_-A12_)*x1_))</f>
        <v>5.2555852854677658</v>
      </c>
      <c r="D11" s="18">
        <f t="shared" si="2"/>
        <v>1.0051709484437474</v>
      </c>
      <c r="E11" s="18">
        <f t="shared" si="3"/>
        <v>0.26277926427338832</v>
      </c>
      <c r="F11" s="18">
        <f t="shared" si="4"/>
        <v>0.95491240102156005</v>
      </c>
      <c r="G11" s="18">
        <f t="shared" ref="G11:G29" si="6">x1_*LN(activity1)+x2_*LN(activity2)</f>
        <v>-0.11065093084587263</v>
      </c>
      <c r="H11" s="18"/>
      <c r="I11" s="18"/>
    </row>
    <row r="12" spans="1:9">
      <c r="A12" s="21">
        <f t="shared" si="5"/>
        <v>0.1</v>
      </c>
      <c r="B12" s="14">
        <f t="shared" si="0"/>
        <v>0.9</v>
      </c>
      <c r="C12" s="18">
        <f t="shared" si="1"/>
        <v>4.353765052254281</v>
      </c>
      <c r="D12" s="18">
        <f t="shared" si="2"/>
        <v>1.0206156258651411</v>
      </c>
      <c r="E12" s="18">
        <f t="shared" si="3"/>
        <v>0.43537650522542815</v>
      </c>
      <c r="F12" s="18">
        <f t="shared" si="4"/>
        <v>0.91855406327862699</v>
      </c>
      <c r="G12" s="18">
        <f t="shared" si="6"/>
        <v>-0.15961347339144821</v>
      </c>
      <c r="H12" s="18"/>
      <c r="I12" s="18"/>
    </row>
    <row r="13" spans="1:9">
      <c r="A13" s="21">
        <f t="shared" si="5"/>
        <v>0.15000000000000002</v>
      </c>
      <c r="B13" s="14">
        <f t="shared" si="0"/>
        <v>0.85</v>
      </c>
      <c r="C13" s="18">
        <f t="shared" si="1"/>
        <v>3.6543276580692972</v>
      </c>
      <c r="D13" s="18">
        <f t="shared" si="2"/>
        <v>1.0464551187709883</v>
      </c>
      <c r="E13" s="18">
        <f t="shared" si="3"/>
        <v>0.54814914871039466</v>
      </c>
      <c r="F13" s="18">
        <f t="shared" si="4"/>
        <v>0.88948685095533997</v>
      </c>
      <c r="G13" s="18">
        <f t="shared" si="6"/>
        <v>-0.18972515030599094</v>
      </c>
      <c r="H13" s="18"/>
      <c r="I13" s="18"/>
    </row>
    <row r="14" spans="1:9">
      <c r="A14" s="21">
        <f t="shared" si="5"/>
        <v>0.2</v>
      </c>
      <c r="B14" s="14">
        <f t="shared" si="0"/>
        <v>0.8</v>
      </c>
      <c r="C14" s="18">
        <f t="shared" si="1"/>
        <v>3.1067215307931439</v>
      </c>
      <c r="D14" s="18">
        <f t="shared" si="2"/>
        <v>1.0831007583223822</v>
      </c>
      <c r="E14" s="18">
        <f t="shared" si="3"/>
        <v>0.62134430615862879</v>
      </c>
      <c r="F14" s="18">
        <f t="shared" si="4"/>
        <v>0.86648060665790583</v>
      </c>
      <c r="G14" s="18">
        <f t="shared" si="6"/>
        <v>-0.2098264235381877</v>
      </c>
      <c r="H14" s="18"/>
      <c r="I14" s="18"/>
    </row>
    <row r="15" spans="1:9">
      <c r="A15" s="21">
        <f t="shared" si="5"/>
        <v>0.25</v>
      </c>
      <c r="B15" s="14">
        <f t="shared" si="0"/>
        <v>0.75</v>
      </c>
      <c r="C15" s="18">
        <f t="shared" si="1"/>
        <v>2.6742577761844828</v>
      </c>
      <c r="D15" s="18">
        <f t="shared" si="2"/>
        <v>1.1312555532836817</v>
      </c>
      <c r="E15" s="18">
        <f>x1_*gamma1_</f>
        <v>0.6685644440461207</v>
      </c>
      <c r="F15" s="18">
        <f t="shared" si="4"/>
        <v>0.8484416649627613</v>
      </c>
      <c r="G15" s="18">
        <f t="shared" si="6"/>
        <v>-0.22392108211880837</v>
      </c>
      <c r="H15" s="18"/>
      <c r="I15" s="18"/>
    </row>
    <row r="16" spans="1:9">
      <c r="A16" s="21">
        <f t="shared" si="5"/>
        <v>0.3</v>
      </c>
      <c r="B16" s="14">
        <f t="shared" si="0"/>
        <v>0.7</v>
      </c>
      <c r="C16" s="18">
        <f t="shared" si="1"/>
        <v>2.3300436469529755</v>
      </c>
      <c r="D16" s="18">
        <f t="shared" si="2"/>
        <v>1.1919278043637735</v>
      </c>
      <c r="E16" s="18">
        <f t="shared" si="3"/>
        <v>0.69901309408589263</v>
      </c>
      <c r="F16" s="18">
        <f t="shared" si="4"/>
        <v>0.83434946305464142</v>
      </c>
      <c r="G16" s="18">
        <f t="shared" si="6"/>
        <v>-0.2341978020548936</v>
      </c>
      <c r="H16" s="18"/>
      <c r="I16" s="18"/>
    </row>
    <row r="17" spans="1:7">
      <c r="A17" s="21">
        <f t="shared" si="5"/>
        <v>0.35</v>
      </c>
      <c r="B17" s="14">
        <f t="shared" si="0"/>
        <v>0.65</v>
      </c>
      <c r="C17" s="18">
        <f t="shared" si="1"/>
        <v>2.0541797605815471</v>
      </c>
      <c r="D17" s="18">
        <f t="shared" si="2"/>
        <v>1.266456540216101</v>
      </c>
      <c r="E17" s="18">
        <f t="shared" si="3"/>
        <v>0.71896291620354147</v>
      </c>
      <c r="F17" s="18">
        <f t="shared" si="4"/>
        <v>0.82319675114046564</v>
      </c>
      <c r="G17" s="18">
        <f t="shared" si="6"/>
        <v>-0.24194495153463247</v>
      </c>
    </row>
    <row r="18" spans="1:7">
      <c r="A18" s="21">
        <f t="shared" si="5"/>
        <v>0.39999999999999997</v>
      </c>
      <c r="B18" s="14">
        <f t="shared" si="0"/>
        <v>0.60000000000000009</v>
      </c>
      <c r="C18" s="18">
        <f t="shared" si="1"/>
        <v>1.8318089941843523</v>
      </c>
      <c r="D18" s="18">
        <f t="shared" si="2"/>
        <v>1.3565490341332038</v>
      </c>
      <c r="E18" s="18">
        <f t="shared" si="3"/>
        <v>0.73272359767374085</v>
      </c>
      <c r="F18" s="18">
        <f t="shared" si="4"/>
        <v>0.81392942047992245</v>
      </c>
      <c r="G18" s="18">
        <f t="shared" si="6"/>
        <v>-0.24792366700925636</v>
      </c>
    </row>
    <row r="19" spans="1:7">
      <c r="A19" s="21">
        <f t="shared" si="5"/>
        <v>0.44999999999999996</v>
      </c>
      <c r="B19" s="14">
        <f t="shared" si="0"/>
        <v>0.55000000000000004</v>
      </c>
      <c r="C19" s="18">
        <f t="shared" si="1"/>
        <v>1.6517451159016316</v>
      </c>
      <c r="D19" s="18">
        <f t="shared" si="2"/>
        <v>1.4643312081105202</v>
      </c>
      <c r="E19" s="18">
        <f t="shared" si="3"/>
        <v>0.74328530215573418</v>
      </c>
      <c r="F19" s="18">
        <f t="shared" si="4"/>
        <v>0.80538216446078614</v>
      </c>
      <c r="G19" s="18">
        <f t="shared" si="6"/>
        <v>-0.25254500121358847</v>
      </c>
    </row>
    <row r="20" spans="1:7">
      <c r="A20" s="21">
        <f t="shared" si="5"/>
        <v>0.49999999999999994</v>
      </c>
      <c r="B20" s="14">
        <f t="shared" si="0"/>
        <v>0.5</v>
      </c>
      <c r="C20" s="18">
        <f t="shared" si="1"/>
        <v>1.5054998962113584</v>
      </c>
      <c r="D20" s="18">
        <f t="shared" si="2"/>
        <v>1.5924122421889122</v>
      </c>
      <c r="E20" s="18">
        <f t="shared" si="3"/>
        <v>0.75274994810567908</v>
      </c>
      <c r="F20" s="18">
        <f t="shared" si="4"/>
        <v>0.7962061210944561</v>
      </c>
      <c r="G20" s="18">
        <f t="shared" si="6"/>
        <v>-0.25595968055994539</v>
      </c>
    </row>
    <row r="21" spans="1:7">
      <c r="A21" s="21">
        <f t="shared" si="5"/>
        <v>0.54999999999999993</v>
      </c>
      <c r="B21" s="14">
        <f t="shared" si="0"/>
        <v>0.45000000000000007</v>
      </c>
      <c r="C21" s="18">
        <f t="shared" si="1"/>
        <v>1.3865867129327598</v>
      </c>
      <c r="D21" s="18">
        <f t="shared" si="2"/>
        <v>1.7439652066981146</v>
      </c>
      <c r="E21" s="18">
        <f t="shared" si="3"/>
        <v>0.76262269211301781</v>
      </c>
      <c r="F21" s="18">
        <f t="shared" si="4"/>
        <v>0.78478434301415168</v>
      </c>
      <c r="G21" s="18">
        <f t="shared" si="6"/>
        <v>-0.25810137621358842</v>
      </c>
    </row>
    <row r="22" spans="1:7">
      <c r="A22" s="21">
        <f t="shared" si="5"/>
        <v>0.6</v>
      </c>
      <c r="B22" s="14">
        <f t="shared" si="0"/>
        <v>0.4</v>
      </c>
      <c r="C22" s="18">
        <f t="shared" si="1"/>
        <v>1.2900177784205884</v>
      </c>
      <c r="D22" s="18">
        <f t="shared" si="2"/>
        <v>1.9228260405843038</v>
      </c>
      <c r="E22" s="18">
        <f t="shared" si="3"/>
        <v>0.774010667052353</v>
      </c>
      <c r="F22" s="18">
        <f t="shared" si="4"/>
        <v>0.76913041623372158</v>
      </c>
      <c r="G22" s="18">
        <f t="shared" si="6"/>
        <v>-0.2586996670092564</v>
      </c>
    </row>
    <row r="23" spans="1:7">
      <c r="A23" s="21">
        <f t="shared" si="5"/>
        <v>0.65</v>
      </c>
      <c r="B23" s="14">
        <f t="shared" si="0"/>
        <v>0.35</v>
      </c>
      <c r="C23" s="18">
        <f t="shared" si="1"/>
        <v>1.2119381742486484</v>
      </c>
      <c r="D23" s="18">
        <f t="shared" si="2"/>
        <v>2.1336137214696622</v>
      </c>
      <c r="E23" s="18">
        <f t="shared" si="3"/>
        <v>0.78775981326162148</v>
      </c>
      <c r="F23" s="18">
        <f t="shared" si="4"/>
        <v>0.74676480251438171</v>
      </c>
      <c r="G23" s="18">
        <f t="shared" si="6"/>
        <v>-0.25726707653463238</v>
      </c>
    </row>
    <row r="24" spans="1:7">
      <c r="A24" s="21">
        <f t="shared" si="5"/>
        <v>0.70000000000000007</v>
      </c>
      <c r="B24" s="14">
        <f t="shared" si="0"/>
        <v>0.29999999999999993</v>
      </c>
      <c r="C24" s="18">
        <f t="shared" si="1"/>
        <v>1.1493573958746355</v>
      </c>
      <c r="D24" s="18">
        <f t="shared" si="2"/>
        <v>2.3818750175163386</v>
      </c>
      <c r="E24" s="18">
        <f t="shared" si="3"/>
        <v>0.80455017711224486</v>
      </c>
      <c r="F24" s="18">
        <f t="shared" si="4"/>
        <v>0.71456250525490139</v>
      </c>
      <c r="G24" s="18">
        <f t="shared" si="6"/>
        <v>-0.25305580205489353</v>
      </c>
    </row>
    <row r="25" spans="1:7">
      <c r="A25" s="21">
        <f t="shared" si="5"/>
        <v>0.75000000000000011</v>
      </c>
      <c r="B25" s="14">
        <f t="shared" si="0"/>
        <v>0.24999999999999989</v>
      </c>
      <c r="C25" s="18">
        <f t="shared" si="1"/>
        <v>1.0999509908070482</v>
      </c>
      <c r="D25" s="18">
        <f t="shared" si="2"/>
        <v>2.6742577761844841</v>
      </c>
      <c r="E25" s="18">
        <f t="shared" si="3"/>
        <v>0.82496324310528624</v>
      </c>
      <c r="F25" s="18">
        <f t="shared" si="4"/>
        <v>0.6685644440461207</v>
      </c>
      <c r="G25" s="18">
        <f t="shared" si="6"/>
        <v>-0.24496795711880831</v>
      </c>
    </row>
    <row r="26" spans="1:7">
      <c r="A26" s="21">
        <f t="shared" si="5"/>
        <v>0.80000000000000016</v>
      </c>
      <c r="B26" s="14">
        <f t="shared" si="0"/>
        <v>0.19999999999999984</v>
      </c>
      <c r="C26" s="18">
        <f t="shared" si="1"/>
        <v>1.0619130015290572</v>
      </c>
      <c r="D26" s="18">
        <f t="shared" si="2"/>
        <v>3.0187172817007202</v>
      </c>
      <c r="E26" s="18">
        <f t="shared" si="3"/>
        <v>0.84953040122324597</v>
      </c>
      <c r="F26" s="18">
        <f t="shared" si="4"/>
        <v>0.60374345634014359</v>
      </c>
      <c r="G26" s="18">
        <f t="shared" si="6"/>
        <v>-0.23137842353818774</v>
      </c>
    </row>
    <row r="27" spans="1:7">
      <c r="A27" s="21">
        <f t="shared" si="5"/>
        <v>0.8500000000000002</v>
      </c>
      <c r="B27" s="14">
        <f t="shared" si="0"/>
        <v>0.1499999999999998</v>
      </c>
      <c r="C27" s="18">
        <f t="shared" si="1"/>
        <v>1.0338455308160497</v>
      </c>
      <c r="D27" s="18">
        <f t="shared" si="2"/>
        <v>3.4247607833582516</v>
      </c>
      <c r="E27" s="18">
        <f t="shared" si="3"/>
        <v>0.87876870119364248</v>
      </c>
      <c r="F27" s="18">
        <f t="shared" si="4"/>
        <v>0.51371411750373708</v>
      </c>
      <c r="G27" s="18">
        <f t="shared" si="6"/>
        <v>-0.20976177530599072</v>
      </c>
    </row>
    <row r="28" spans="1:7">
      <c r="A28" s="21">
        <f t="shared" si="5"/>
        <v>0.90000000000000024</v>
      </c>
      <c r="B28" s="14">
        <f t="shared" si="0"/>
        <v>9.9999999999999756E-2</v>
      </c>
      <c r="C28" s="18">
        <f t="shared" si="1"/>
        <v>1.0146756451555345</v>
      </c>
      <c r="D28" s="18">
        <f t="shared" si="2"/>
        <v>3.9037358309155699</v>
      </c>
      <c r="E28" s="18">
        <f t="shared" si="3"/>
        <v>0.91320808063998138</v>
      </c>
      <c r="F28" s="18">
        <f t="shared" si="4"/>
        <v>0.39037358309155601</v>
      </c>
      <c r="G28" s="18">
        <f t="shared" si="6"/>
        <v>-0.17577747339144795</v>
      </c>
    </row>
    <row r="29" spans="1:7">
      <c r="A29" s="21">
        <f t="shared" si="5"/>
        <v>0.95000000000000029</v>
      </c>
      <c r="B29" s="14">
        <f t="shared" si="0"/>
        <v>4.9999999999999711E-2</v>
      </c>
      <c r="C29" s="18">
        <f t="shared" si="1"/>
        <v>1.0035925628395899</v>
      </c>
      <c r="D29" s="18">
        <f t="shared" si="2"/>
        <v>4.4691685070393419</v>
      </c>
      <c r="E29" s="18">
        <f t="shared" si="3"/>
        <v>0.95341293469761068</v>
      </c>
      <c r="F29" s="18">
        <f t="shared" si="4"/>
        <v>0.22345842535196581</v>
      </c>
      <c r="G29" s="18">
        <f t="shared" si="6"/>
        <v>-0.12024830584587218</v>
      </c>
    </row>
    <row r="30" spans="1:7">
      <c r="A30" s="21">
        <f t="shared" si="5"/>
        <v>1.0000000000000002</v>
      </c>
      <c r="B30" s="14">
        <f t="shared" si="0"/>
        <v>0</v>
      </c>
      <c r="C30" s="18">
        <f t="shared" si="1"/>
        <v>1</v>
      </c>
      <c r="D30" s="18">
        <f t="shared" si="2"/>
        <v>5.1371579575493547</v>
      </c>
      <c r="E30" s="18">
        <f t="shared" si="3"/>
        <v>1.0000000000000002</v>
      </c>
      <c r="F30" s="18">
        <f t="shared" si="4"/>
        <v>0</v>
      </c>
      <c r="G30" s="22">
        <v>0</v>
      </c>
    </row>
    <row r="31" spans="1:7" s="18" customFormat="1">
      <c r="A31" s="14"/>
      <c r="B31" s="14"/>
    </row>
    <row r="32" spans="1:7" s="18" customFormat="1">
      <c r="A32" s="14"/>
      <c r="B32" s="14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85"/>
  <sheetViews>
    <sheetView showGridLines="0" workbookViewId="0">
      <selection activeCell="J6" sqref="J6"/>
    </sheetView>
  </sheetViews>
  <sheetFormatPr baseColWidth="10" defaultColWidth="9.1640625" defaultRowHeight="13"/>
  <cols>
    <col min="1" max="15" width="7.6640625" style="156" customWidth="1"/>
    <col min="16" max="16" width="5.6640625" style="156" customWidth="1"/>
    <col min="17" max="16384" width="9.1640625" style="156"/>
  </cols>
  <sheetData>
    <row r="1" spans="1:17" s="155" customFormat="1">
      <c r="A1" s="155" t="s">
        <v>254</v>
      </c>
    </row>
    <row r="2" spans="1:17" s="155" customFormat="1">
      <c r="A2" s="155" t="s">
        <v>256</v>
      </c>
    </row>
    <row r="3" spans="1:17" s="155" customFormat="1">
      <c r="A3" s="155" t="s">
        <v>257</v>
      </c>
    </row>
    <row r="4" spans="1:17" s="155" customFormat="1">
      <c r="A4" s="155" t="s">
        <v>258</v>
      </c>
    </row>
    <row r="5" spans="1:17" s="155" customFormat="1">
      <c r="A5" s="155" t="s">
        <v>35</v>
      </c>
    </row>
    <row r="6" spans="1:17" s="155" customFormat="1">
      <c r="A6" s="155" t="s">
        <v>36</v>
      </c>
    </row>
    <row r="7" spans="1:17" s="155" customFormat="1">
      <c r="A7" s="155" t="s">
        <v>37</v>
      </c>
    </row>
    <row r="8" spans="1:17">
      <c r="A8" s="160" t="s">
        <v>192</v>
      </c>
    </row>
    <row r="9" spans="1:17" s="155" customFormat="1" ht="15">
      <c r="A9" s="163" t="s">
        <v>193</v>
      </c>
      <c r="B9" s="173"/>
      <c r="C9" s="173"/>
      <c r="D9" s="174" t="s">
        <v>150</v>
      </c>
      <c r="E9" s="174" t="s">
        <v>126</v>
      </c>
      <c r="F9" s="174" t="s">
        <v>127</v>
      </c>
      <c r="G9" s="173"/>
      <c r="H9" s="173" t="s">
        <v>195</v>
      </c>
      <c r="I9" s="173"/>
      <c r="J9" s="175" t="s">
        <v>196</v>
      </c>
      <c r="K9" s="176"/>
    </row>
    <row r="10" spans="1:17" s="155" customFormat="1">
      <c r="A10" s="164">
        <v>1</v>
      </c>
      <c r="B10" s="165" t="s">
        <v>166</v>
      </c>
      <c r="C10" s="165"/>
      <c r="D10" s="165">
        <v>8.0809700000000007</v>
      </c>
      <c r="E10" s="165">
        <v>1582.271</v>
      </c>
      <c r="F10" s="165">
        <v>239.726</v>
      </c>
      <c r="G10" s="171"/>
      <c r="H10" s="165">
        <v>40</v>
      </c>
      <c r="I10" s="171"/>
      <c r="J10" s="165">
        <v>14.5</v>
      </c>
      <c r="K10" s="177"/>
    </row>
    <row r="11" spans="1:17" s="155" customFormat="1">
      <c r="A11" s="166">
        <v>2</v>
      </c>
      <c r="B11" s="167" t="s">
        <v>149</v>
      </c>
      <c r="C11" s="167"/>
      <c r="D11" s="167">
        <v>6.8798700000000004</v>
      </c>
      <c r="E11" s="167">
        <v>1196.76</v>
      </c>
      <c r="F11" s="167">
        <v>219.161</v>
      </c>
      <c r="G11" s="178"/>
      <c r="H11" s="167">
        <v>88</v>
      </c>
      <c r="I11" s="178"/>
      <c r="J11" s="167">
        <v>9.1999999999999993</v>
      </c>
      <c r="K11" s="179"/>
    </row>
    <row r="12" spans="1:17">
      <c r="A12" s="156" t="s">
        <v>255</v>
      </c>
    </row>
    <row r="13" spans="1:17">
      <c r="A13" s="161" t="s">
        <v>259</v>
      </c>
      <c r="H13" s="156" t="s">
        <v>207</v>
      </c>
      <c r="I13" s="161">
        <v>760</v>
      </c>
      <c r="J13" s="156" t="s">
        <v>208</v>
      </c>
    </row>
    <row r="14" spans="1:17" ht="15">
      <c r="A14" s="168" t="s">
        <v>50</v>
      </c>
      <c r="B14" s="169">
        <v>0</v>
      </c>
      <c r="C14" s="169">
        <v>2.5999999999999999E-2</v>
      </c>
      <c r="D14" s="169">
        <v>0.05</v>
      </c>
      <c r="E14" s="169">
        <v>8.7999999999999995E-2</v>
      </c>
      <c r="F14" s="169">
        <v>0.16400000000000001</v>
      </c>
      <c r="G14" s="169">
        <f>C36</f>
        <v>0.28420941450762771</v>
      </c>
      <c r="H14" s="169">
        <v>0.33300000000000002</v>
      </c>
      <c r="I14" s="169">
        <v>0.54900000000000004</v>
      </c>
      <c r="J14" s="169">
        <v>0.69899999999999995</v>
      </c>
      <c r="K14" s="169">
        <v>0.78200000000000003</v>
      </c>
      <c r="L14" s="169">
        <v>0.89800000000000002</v>
      </c>
      <c r="M14" s="169">
        <f>C37</f>
        <v>0.97303263263832951</v>
      </c>
      <c r="N14" s="169">
        <v>0.97299999999999998</v>
      </c>
      <c r="O14" s="169">
        <v>1</v>
      </c>
      <c r="P14" s="161"/>
      <c r="Q14" s="161"/>
    </row>
    <row r="15" spans="1:17" ht="15">
      <c r="A15" s="168" t="s">
        <v>197</v>
      </c>
      <c r="B15" s="169">
        <v>0</v>
      </c>
      <c r="C15" s="169">
        <v>0.26700000000000002</v>
      </c>
      <c r="D15" s="169">
        <v>0.371</v>
      </c>
      <c r="E15" s="169">
        <v>0.45700000000000002</v>
      </c>
      <c r="F15" s="169">
        <v>0.52600000000000002</v>
      </c>
      <c r="G15" s="169"/>
      <c r="H15" s="169">
        <v>0.55900000000000005</v>
      </c>
      <c r="I15" s="169">
        <v>0.59499999999999997</v>
      </c>
      <c r="J15" s="169">
        <v>0.63300000000000001</v>
      </c>
      <c r="K15" s="169">
        <v>0.66500000000000004</v>
      </c>
      <c r="L15" s="169">
        <v>0.76</v>
      </c>
      <c r="M15" s="169"/>
      <c r="N15" s="169">
        <v>0.90700000000000003</v>
      </c>
      <c r="O15" s="169">
        <v>1</v>
      </c>
      <c r="P15" s="161"/>
      <c r="Q15" s="161"/>
    </row>
    <row r="16" spans="1:17">
      <c r="A16" s="168" t="s">
        <v>194</v>
      </c>
      <c r="B16" s="169">
        <v>80.099999999999994</v>
      </c>
      <c r="C16" s="169">
        <v>70.67</v>
      </c>
      <c r="D16" s="169">
        <v>66.44</v>
      </c>
      <c r="E16" s="169">
        <v>62.87</v>
      </c>
      <c r="F16" s="169">
        <v>60.2</v>
      </c>
      <c r="G16" s="169"/>
      <c r="H16" s="169">
        <v>58.64</v>
      </c>
      <c r="I16" s="169">
        <v>58.02</v>
      </c>
      <c r="J16" s="169">
        <v>58.1</v>
      </c>
      <c r="K16" s="169">
        <v>58.47</v>
      </c>
      <c r="L16" s="169">
        <v>59.9</v>
      </c>
      <c r="M16" s="169"/>
      <c r="N16" s="169">
        <v>62.7</v>
      </c>
      <c r="O16" s="169">
        <v>64.7</v>
      </c>
      <c r="P16" s="161"/>
      <c r="Q16" s="161"/>
    </row>
    <row r="17" spans="1:16">
      <c r="A17" s="156" t="s">
        <v>201</v>
      </c>
    </row>
    <row r="18" spans="1:16">
      <c r="A18" s="168" t="s">
        <v>38</v>
      </c>
      <c r="B18" s="168">
        <f>B16+273.15</f>
        <v>353.25</v>
      </c>
      <c r="C18" s="168">
        <f t="shared" ref="C18:O18" si="0">C16+273.15</f>
        <v>343.82</v>
      </c>
      <c r="D18" s="168">
        <f t="shared" si="0"/>
        <v>339.59</v>
      </c>
      <c r="E18" s="168">
        <f t="shared" si="0"/>
        <v>336.02</v>
      </c>
      <c r="F18" s="168">
        <f t="shared" si="0"/>
        <v>333.34999999999997</v>
      </c>
      <c r="G18" s="168"/>
      <c r="H18" s="168">
        <f t="shared" si="0"/>
        <v>331.78999999999996</v>
      </c>
      <c r="I18" s="168">
        <f t="shared" si="0"/>
        <v>331.16999999999996</v>
      </c>
      <c r="J18" s="168">
        <f t="shared" si="0"/>
        <v>331.25</v>
      </c>
      <c r="K18" s="168">
        <f t="shared" si="0"/>
        <v>331.62</v>
      </c>
      <c r="L18" s="168">
        <f t="shared" si="0"/>
        <v>333.04999999999995</v>
      </c>
      <c r="M18" s="168"/>
      <c r="N18" s="168">
        <f t="shared" si="0"/>
        <v>335.84999999999997</v>
      </c>
      <c r="O18" s="168">
        <f t="shared" si="0"/>
        <v>337.84999999999997</v>
      </c>
    </row>
    <row r="19" spans="1:16" ht="15">
      <c r="A19" s="170" t="s">
        <v>202</v>
      </c>
      <c r="B19" s="168">
        <f t="shared" ref="B19:O19" si="1">V1_*x1__/(V1_*x1__+V2_*(1-x1__))</f>
        <v>0</v>
      </c>
      <c r="C19" s="168">
        <f t="shared" si="1"/>
        <v>1.1988196237550718E-2</v>
      </c>
      <c r="D19" s="168">
        <f t="shared" si="1"/>
        <v>2.3364485981308414E-2</v>
      </c>
      <c r="E19" s="168">
        <f t="shared" si="1"/>
        <v>4.2016806722689072E-2</v>
      </c>
      <c r="F19" s="168">
        <f t="shared" si="1"/>
        <v>8.1869009584664545E-2</v>
      </c>
      <c r="G19" s="168">
        <f t="shared" si="1"/>
        <v>0.15288717440751348</v>
      </c>
      <c r="H19" s="168">
        <f t="shared" si="1"/>
        <v>0.18495889802266163</v>
      </c>
      <c r="I19" s="168">
        <f t="shared" si="1"/>
        <v>0.35621593563457049</v>
      </c>
      <c r="J19" s="168">
        <f t="shared" si="1"/>
        <v>0.51351748457243607</v>
      </c>
      <c r="K19" s="168">
        <f t="shared" si="1"/>
        <v>0.61984781230183894</v>
      </c>
      <c r="L19" s="168">
        <f t="shared" si="1"/>
        <v>0.80007127583749116</v>
      </c>
      <c r="M19" s="168">
        <f t="shared" si="1"/>
        <v>0.94253152013423314</v>
      </c>
      <c r="N19" s="168">
        <f t="shared" si="1"/>
        <v>0.94246416117783793</v>
      </c>
      <c r="O19" s="168">
        <f t="shared" si="1"/>
        <v>1</v>
      </c>
    </row>
    <row r="21" spans="1:16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6" s="155" customFormat="1">
      <c r="A22" s="155" t="s">
        <v>218</v>
      </c>
    </row>
    <row r="23" spans="1:16" ht="15">
      <c r="A23" s="168" t="s">
        <v>50</v>
      </c>
      <c r="B23" s="168">
        <f>B14</f>
        <v>0</v>
      </c>
      <c r="C23" s="168">
        <f t="shared" ref="C23:O23" si="2">C14</f>
        <v>2.5999999999999999E-2</v>
      </c>
      <c r="D23" s="168">
        <f t="shared" si="2"/>
        <v>0.05</v>
      </c>
      <c r="E23" s="168">
        <f t="shared" si="2"/>
        <v>8.7999999999999995E-2</v>
      </c>
      <c r="F23" s="168">
        <f t="shared" si="2"/>
        <v>0.16400000000000001</v>
      </c>
      <c r="G23" s="168">
        <f t="shared" si="2"/>
        <v>0.28420941450762771</v>
      </c>
      <c r="H23" s="168">
        <f t="shared" si="2"/>
        <v>0.33300000000000002</v>
      </c>
      <c r="I23" s="168">
        <f t="shared" si="2"/>
        <v>0.54900000000000004</v>
      </c>
      <c r="J23" s="168">
        <f t="shared" si="2"/>
        <v>0.69899999999999995</v>
      </c>
      <c r="K23" s="168">
        <f t="shared" si="2"/>
        <v>0.78200000000000003</v>
      </c>
      <c r="L23" s="168">
        <f t="shared" si="2"/>
        <v>0.89800000000000002</v>
      </c>
      <c r="M23" s="168">
        <f t="shared" si="2"/>
        <v>0.97303263263832951</v>
      </c>
      <c r="N23" s="168">
        <f t="shared" si="2"/>
        <v>0.97299999999999998</v>
      </c>
      <c r="O23" s="168">
        <f t="shared" si="2"/>
        <v>1</v>
      </c>
    </row>
    <row r="24" spans="1:16" s="155" customFormat="1" ht="15">
      <c r="A24" s="170" t="s">
        <v>204</v>
      </c>
      <c r="B24" s="168">
        <f t="shared" ref="B24:O24" si="3">EXP(V1_*(1-phir1)^2*(_del1-_del2)^2/1.987/T.)</f>
        <v>4.9569105738615145</v>
      </c>
      <c r="C24" s="168">
        <f t="shared" si="3"/>
        <v>4.8953892464632363</v>
      </c>
      <c r="D24" s="168">
        <f t="shared" si="3"/>
        <v>4.8067878322186699</v>
      </c>
      <c r="E24" s="168">
        <f t="shared" si="3"/>
        <v>4.6265030912687397</v>
      </c>
      <c r="F24" s="168">
        <f t="shared" si="3"/>
        <v>4.1889013632289283</v>
      </c>
      <c r="G24" s="168">
        <f t="shared" si="3"/>
        <v>3.4440802346676183</v>
      </c>
      <c r="H24" s="168">
        <f t="shared" si="3"/>
        <v>3.1520240793858818</v>
      </c>
      <c r="I24" s="168">
        <f t="shared" si="3"/>
        <v>2.0509166358027611</v>
      </c>
      <c r="J24" s="168">
        <f t="shared" si="3"/>
        <v>1.5066233097275328</v>
      </c>
      <c r="K24" s="168">
        <f t="shared" si="3"/>
        <v>1.2848416622364158</v>
      </c>
      <c r="L24" s="168">
        <f t="shared" si="3"/>
        <v>1.0721716027691996</v>
      </c>
      <c r="M24" s="168">
        <f t="shared" si="3"/>
        <v>1.0057077474538905</v>
      </c>
      <c r="N24" s="168">
        <f t="shared" si="3"/>
        <v>1.0057212844191814</v>
      </c>
      <c r="O24" s="168">
        <f t="shared" si="3"/>
        <v>1</v>
      </c>
    </row>
    <row r="25" spans="1:16" s="155" customFormat="1" ht="15">
      <c r="A25" s="170" t="s">
        <v>205</v>
      </c>
      <c r="B25" s="168">
        <f>EXP(V2_*phir1^2*(_del1-_del2)^2/1.987/T.)</f>
        <v>1</v>
      </c>
      <c r="C25" s="168">
        <f t="shared" ref="C25:O25" si="4">EXP(V2_*phir1^2*(_del1-_del2)^2/1.987/30:30)</f>
        <v>1.0005145749664133</v>
      </c>
      <c r="D25" s="168">
        <f t="shared" si="4"/>
        <v>1.0019788239037748</v>
      </c>
      <c r="E25" s="168">
        <f t="shared" si="4"/>
        <v>1.0065037506593932</v>
      </c>
      <c r="F25" s="168">
        <f t="shared" si="4"/>
        <v>1.0253735279435017</v>
      </c>
      <c r="G25" s="168">
        <f t="shared" si="4"/>
        <v>1.0926653085140907</v>
      </c>
      <c r="H25" s="168">
        <f t="shared" si="4"/>
        <v>1.138906677705263</v>
      </c>
      <c r="I25" s="168">
        <f t="shared" si="4"/>
        <v>1.622228912529682</v>
      </c>
      <c r="J25" s="168">
        <f t="shared" si="4"/>
        <v>2.7311471665878462</v>
      </c>
      <c r="K25" s="168">
        <f t="shared" si="4"/>
        <v>4.3316746164511439</v>
      </c>
      <c r="L25" s="168">
        <f t="shared" si="4"/>
        <v>11.648045417848389</v>
      </c>
      <c r="M25" s="168">
        <f t="shared" si="4"/>
        <v>29.022951045407453</v>
      </c>
      <c r="N25" s="168">
        <f t="shared" si="4"/>
        <v>29.01086910995825</v>
      </c>
      <c r="O25" s="168">
        <f t="shared" si="4"/>
        <v>39.801581899478357</v>
      </c>
    </row>
    <row r="26" spans="1:16" s="155" customFormat="1" ht="16">
      <c r="A26" s="168" t="s">
        <v>203</v>
      </c>
      <c r="B26" s="168">
        <f t="shared" ref="B26:O26" si="5">10^($D$10-$E$10/(T.-273.15+$F$10))</f>
        <v>1360.4244826227955</v>
      </c>
      <c r="C26" s="168">
        <f t="shared" si="5"/>
        <v>1106.0716894196546</v>
      </c>
      <c r="D26" s="168">
        <f t="shared" si="5"/>
        <v>952.13751813998692</v>
      </c>
      <c r="E26" s="168">
        <f t="shared" si="5"/>
        <v>793.17570520646234</v>
      </c>
      <c r="F26" s="168">
        <f t="shared" si="5"/>
        <v>624.09550573195474</v>
      </c>
      <c r="G26" s="168">
        <f t="shared" si="5"/>
        <v>515.23517491348866</v>
      </c>
      <c r="H26" s="168">
        <f t="shared" si="5"/>
        <v>495.45315404077894</v>
      </c>
      <c r="I26" s="168">
        <f t="shared" si="5"/>
        <v>476.60082528583428</v>
      </c>
      <c r="J26" s="168">
        <f t="shared" si="5"/>
        <v>481.25784065913791</v>
      </c>
      <c r="K26" s="168">
        <f t="shared" si="5"/>
        <v>471.90498406610601</v>
      </c>
      <c r="L26" s="168">
        <f t="shared" si="5"/>
        <v>438.81929731294923</v>
      </c>
      <c r="M26" s="168">
        <f t="shared" si="5"/>
        <v>515.20021082961773</v>
      </c>
      <c r="N26" s="168">
        <f t="shared" si="5"/>
        <v>515.06332009917355</v>
      </c>
      <c r="O26" s="168">
        <f t="shared" si="5"/>
        <v>759.99493194240233</v>
      </c>
    </row>
    <row r="27" spans="1:16" s="155" customFormat="1" ht="16">
      <c r="A27" s="168" t="s">
        <v>206</v>
      </c>
      <c r="B27" s="168">
        <f t="shared" ref="B27:O27" si="6">10^($D$11-$E$11/(T.-273.15+$F$11))</f>
        <v>759.99647184576554</v>
      </c>
      <c r="C27" s="168">
        <f t="shared" si="6"/>
        <v>635.41766727657637</v>
      </c>
      <c r="D27" s="168">
        <f t="shared" si="6"/>
        <v>558.01145075826309</v>
      </c>
      <c r="E27" s="168">
        <f t="shared" si="6"/>
        <v>476.1449152549032</v>
      </c>
      <c r="F27" s="168">
        <f t="shared" si="6"/>
        <v>386.4323406842887</v>
      </c>
      <c r="G27" s="168">
        <f t="shared" si="6"/>
        <v>326.88419942406364</v>
      </c>
      <c r="H27" s="168">
        <f t="shared" si="6"/>
        <v>315.88451184319132</v>
      </c>
      <c r="I27" s="168">
        <f t="shared" si="6"/>
        <v>305.34539133329133</v>
      </c>
      <c r="J27" s="168">
        <f t="shared" si="6"/>
        <v>307.95407166301629</v>
      </c>
      <c r="K27" s="168">
        <f t="shared" si="6"/>
        <v>302.71141797579514</v>
      </c>
      <c r="L27" s="168">
        <f t="shared" si="6"/>
        <v>284.04893393464897</v>
      </c>
      <c r="M27" s="168">
        <f t="shared" si="6"/>
        <v>326.86480983633123</v>
      </c>
      <c r="N27" s="168">
        <f t="shared" si="6"/>
        <v>326.78889433534675</v>
      </c>
      <c r="O27" s="168">
        <f t="shared" si="6"/>
        <v>458.77274017912782</v>
      </c>
    </row>
    <row r="28" spans="1:16" ht="15">
      <c r="A28" s="168" t="s">
        <v>252</v>
      </c>
      <c r="B28" s="168">
        <f t="shared" ref="B28:O28" si="7">x1.*gam1.*P1sat./Pexpt</f>
        <v>0</v>
      </c>
      <c r="C28" s="168">
        <f t="shared" si="7"/>
        <v>0.18523807606481901</v>
      </c>
      <c r="D28" s="168">
        <f t="shared" si="7"/>
        <v>0.30110019978909031</v>
      </c>
      <c r="E28" s="168">
        <f t="shared" si="7"/>
        <v>0.42490450918554279</v>
      </c>
      <c r="F28" s="168">
        <f t="shared" si="7"/>
        <v>0.56413292160300499</v>
      </c>
      <c r="G28" s="168">
        <f t="shared" si="7"/>
        <v>0.6635958059604512</v>
      </c>
      <c r="H28" s="168">
        <f t="shared" si="7"/>
        <v>0.68426254011950605</v>
      </c>
      <c r="I28" s="168">
        <f t="shared" si="7"/>
        <v>0.70609242119422044</v>
      </c>
      <c r="J28" s="168">
        <f t="shared" si="7"/>
        <v>0.6668775292468565</v>
      </c>
      <c r="K28" s="168">
        <f t="shared" si="7"/>
        <v>0.62387464473882026</v>
      </c>
      <c r="L28" s="168">
        <f t="shared" si="7"/>
        <v>0.55592059370370883</v>
      </c>
      <c r="M28" s="168">
        <f t="shared" si="7"/>
        <v>0.66337888032750214</v>
      </c>
      <c r="N28" s="168">
        <f t="shared" si="7"/>
        <v>0.66318930258351361</v>
      </c>
      <c r="O28" s="168">
        <f t="shared" si="7"/>
        <v>0.99999333150316094</v>
      </c>
    </row>
    <row r="29" spans="1:16" ht="15">
      <c r="A29" s="168" t="s">
        <v>253</v>
      </c>
      <c r="B29" s="180">
        <f t="shared" ref="B29:O29" si="8">(1-x1.)*gam2.*P2sat./Pexpt</f>
        <v>0.99999535769179682</v>
      </c>
      <c r="C29" s="180">
        <f t="shared" si="8"/>
        <v>0.81475694306781299</v>
      </c>
      <c r="D29" s="180">
        <f t="shared" si="8"/>
        <v>0.69889457144450451</v>
      </c>
      <c r="E29" s="180">
        <f t="shared" si="8"/>
        <v>0.57508997167375087</v>
      </c>
      <c r="F29" s="180">
        <f t="shared" si="8"/>
        <v>0.43586124172680568</v>
      </c>
      <c r="G29" s="180">
        <f t="shared" si="8"/>
        <v>0.3363980526188558</v>
      </c>
      <c r="H29" s="180">
        <f t="shared" si="8"/>
        <v>0.31573935211564808</v>
      </c>
      <c r="I29" s="180">
        <f t="shared" si="8"/>
        <v>0.2939452566841822</v>
      </c>
      <c r="J29" s="180">
        <f t="shared" si="8"/>
        <v>0.33310715127467488</v>
      </c>
      <c r="K29" s="180">
        <f t="shared" si="8"/>
        <v>0.37612095479939361</v>
      </c>
      <c r="L29" s="180">
        <f t="shared" si="8"/>
        <v>0.44405094487229618</v>
      </c>
      <c r="M29" s="180">
        <f t="shared" si="8"/>
        <v>0.33661595385312693</v>
      </c>
      <c r="N29" s="180">
        <f t="shared" si="8"/>
        <v>0.33680474432114432</v>
      </c>
      <c r="O29" s="180">
        <f t="shared" si="8"/>
        <v>0</v>
      </c>
    </row>
    <row r="30" spans="1:16">
      <c r="A30" s="168" t="s">
        <v>38</v>
      </c>
      <c r="B30" s="168">
        <v>353.24944412400248</v>
      </c>
      <c r="C30" s="168">
        <v>347.54199618187357</v>
      </c>
      <c r="D30" s="168">
        <v>343.53516626418633</v>
      </c>
      <c r="E30" s="168">
        <v>338.7873661067195</v>
      </c>
      <c r="F30" s="168">
        <v>332.77230370337787</v>
      </c>
      <c r="G30" s="168">
        <v>328.13092185097713</v>
      </c>
      <c r="H30" s="168">
        <v>327.20056449507689</v>
      </c>
      <c r="I30" s="168">
        <v>326.28446968306304</v>
      </c>
      <c r="J30" s="168">
        <v>326.51355866430913</v>
      </c>
      <c r="K30" s="168">
        <v>326.05156062611064</v>
      </c>
      <c r="L30" s="168">
        <v>324.35300375485554</v>
      </c>
      <c r="M30" s="168">
        <v>328.12930409461444</v>
      </c>
      <c r="N30" s="168">
        <v>328.12296939939716</v>
      </c>
      <c r="O30" s="168">
        <v>337.69756308826925</v>
      </c>
      <c r="P30" s="156" t="s">
        <v>209</v>
      </c>
    </row>
    <row r="31" spans="1:16" ht="16">
      <c r="A31" s="180" t="s">
        <v>216</v>
      </c>
      <c r="B31" s="168">
        <f t="shared" ref="B31:O31" si="9">(y1.+y2.-1)^2</f>
        <v>2.1551025453352636E-11</v>
      </c>
      <c r="C31" s="168">
        <f t="shared" si="9"/>
        <v>2.480903973759251E-11</v>
      </c>
      <c r="D31" s="168">
        <f t="shared" si="9"/>
        <v>2.7339998119994673E-11</v>
      </c>
      <c r="E31" s="168">
        <f t="shared" si="9"/>
        <v>3.0460914136432723E-11</v>
      </c>
      <c r="F31" s="168">
        <f t="shared" si="9"/>
        <v>3.4066718899658724E-11</v>
      </c>
      <c r="G31" s="168">
        <f t="shared" si="9"/>
        <v>3.7717048128353366E-11</v>
      </c>
      <c r="H31" s="168">
        <f t="shared" si="9"/>
        <v>3.5805538784941074E-12</v>
      </c>
      <c r="I31" s="168">
        <f t="shared" si="9"/>
        <v>1.419622520920104E-9</v>
      </c>
      <c r="J31" s="168">
        <f t="shared" si="9"/>
        <v>2.3468642055195836E-10</v>
      </c>
      <c r="K31" s="168">
        <f t="shared" si="9"/>
        <v>1.9364063930656591E-11</v>
      </c>
      <c r="L31" s="168">
        <f t="shared" si="9"/>
        <v>8.1005265581917159E-10</v>
      </c>
      <c r="M31" s="168">
        <f t="shared" si="9"/>
        <v>2.6685689773113157E-11</v>
      </c>
      <c r="N31" s="168">
        <f t="shared" si="9"/>
        <v>3.5439344151121244E-11</v>
      </c>
      <c r="O31" s="168">
        <f t="shared" si="9"/>
        <v>4.4468850092517836E-11</v>
      </c>
      <c r="P31" s="180">
        <f>SUM(B31:O31)</f>
        <v>2.7698448435925212E-9</v>
      </c>
    </row>
    <row r="32" spans="1:16">
      <c r="A32" s="155"/>
      <c r="B32" s="155"/>
      <c r="C32" s="155"/>
      <c r="D32" s="155"/>
      <c r="F32" s="155"/>
      <c r="G32" s="156" t="s">
        <v>211</v>
      </c>
      <c r="I32" s="155" t="s">
        <v>210</v>
      </c>
      <c r="K32" s="155"/>
      <c r="L32" s="155"/>
      <c r="M32" s="162" t="s">
        <v>211</v>
      </c>
      <c r="N32" s="155"/>
      <c r="O32" s="155"/>
    </row>
    <row r="33" spans="1:18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</row>
    <row r="34" spans="1:18">
      <c r="A34" s="155" t="s">
        <v>242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R34" s="156" t="s">
        <v>212</v>
      </c>
    </row>
    <row r="35" spans="1:18">
      <c r="A35" s="168" t="s">
        <v>20</v>
      </c>
      <c r="B35" s="170" t="s">
        <v>200</v>
      </c>
      <c r="C35" s="181" t="s">
        <v>28</v>
      </c>
      <c r="D35" s="158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R35" s="156" t="s">
        <v>213</v>
      </c>
    </row>
    <row r="36" spans="1:18">
      <c r="A36" s="170" t="s">
        <v>198</v>
      </c>
      <c r="B36" s="168">
        <f>G14*G24-M14*M24</f>
        <v>2.5356984235358482E-4</v>
      </c>
      <c r="C36" s="168">
        <v>0.28420941450762771</v>
      </c>
      <c r="D36" s="155"/>
      <c r="R36" s="156" t="s">
        <v>214</v>
      </c>
    </row>
    <row r="37" spans="1:18">
      <c r="A37" s="170" t="s">
        <v>199</v>
      </c>
      <c r="B37" s="168">
        <f>G15*G25-M15*M25</f>
        <v>0</v>
      </c>
      <c r="C37" s="168">
        <v>0.97303263263832951</v>
      </c>
      <c r="D37" s="155"/>
      <c r="R37" s="156" t="s">
        <v>215</v>
      </c>
    </row>
    <row r="38" spans="1:18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</row>
    <row r="39" spans="1:18" s="155" customFormat="1">
      <c r="A39" s="155" t="s">
        <v>217</v>
      </c>
      <c r="I39" s="161">
        <v>-3.3096609259584214E-2</v>
      </c>
    </row>
    <row r="40" spans="1:18" ht="15">
      <c r="A40" s="168" t="s">
        <v>50</v>
      </c>
      <c r="B40" s="168">
        <f>B$14</f>
        <v>0</v>
      </c>
      <c r="C40" s="168">
        <f t="shared" ref="C40:O40" si="10">C$14</f>
        <v>2.5999999999999999E-2</v>
      </c>
      <c r="D40" s="168">
        <f t="shared" si="10"/>
        <v>0.05</v>
      </c>
      <c r="E40" s="168">
        <f t="shared" si="10"/>
        <v>8.7999999999999995E-2</v>
      </c>
      <c r="F40" s="168">
        <f t="shared" si="10"/>
        <v>0.16400000000000001</v>
      </c>
      <c r="G40" s="168">
        <f t="shared" si="10"/>
        <v>0.28420941450762771</v>
      </c>
      <c r="H40" s="168">
        <f t="shared" si="10"/>
        <v>0.33300000000000002</v>
      </c>
      <c r="I40" s="168">
        <f t="shared" si="10"/>
        <v>0.54900000000000004</v>
      </c>
      <c r="J40" s="168">
        <f t="shared" si="10"/>
        <v>0.69899999999999995</v>
      </c>
      <c r="K40" s="168">
        <f t="shared" si="10"/>
        <v>0.78200000000000003</v>
      </c>
      <c r="L40" s="168">
        <f t="shared" si="10"/>
        <v>0.89800000000000002</v>
      </c>
      <c r="M40" s="168">
        <f t="shared" si="10"/>
        <v>0.97303263263832951</v>
      </c>
      <c r="N40" s="168">
        <f t="shared" si="10"/>
        <v>0.97299999999999998</v>
      </c>
      <c r="O40" s="168">
        <f t="shared" si="10"/>
        <v>1</v>
      </c>
    </row>
    <row r="41" spans="1:18" s="155" customFormat="1" ht="15">
      <c r="A41" s="170" t="s">
        <v>204</v>
      </c>
      <c r="B41" s="168">
        <f t="shared" ref="B41:O41" si="11">EXP(V1_*(1-phir1)^2*((_del1-_del2)^2+2*$I$39*_del1*_del2)/1.987/T..)</f>
        <v>2.9968805921716477</v>
      </c>
      <c r="C41" s="168">
        <f t="shared" si="11"/>
        <v>2.9495603507639498</v>
      </c>
      <c r="D41" s="168">
        <f t="shared" si="11"/>
        <v>2.8999499873639834</v>
      </c>
      <c r="E41" s="168">
        <f t="shared" si="11"/>
        <v>2.8129926773767133</v>
      </c>
      <c r="F41" s="168">
        <f t="shared" si="11"/>
        <v>2.620076760514078</v>
      </c>
      <c r="G41" s="168">
        <f t="shared" si="11"/>
        <v>2.2950439191769609</v>
      </c>
      <c r="H41" s="168">
        <f t="shared" si="11"/>
        <v>2.163237854862297</v>
      </c>
      <c r="I41" s="168">
        <f t="shared" si="11"/>
        <v>1.6236817461687381</v>
      </c>
      <c r="J41" s="168">
        <f t="shared" si="11"/>
        <v>1.3191032568621823</v>
      </c>
      <c r="K41" s="168">
        <f t="shared" si="11"/>
        <v>1.1842533008087999</v>
      </c>
      <c r="L41" s="168">
        <f t="shared" si="11"/>
        <v>1.0478249988712003</v>
      </c>
      <c r="M41" s="168">
        <f t="shared" si="11"/>
        <v>1.0038355908678793</v>
      </c>
      <c r="N41" s="168">
        <f t="shared" si="11"/>
        <v>1.0038446356584341</v>
      </c>
      <c r="O41" s="168">
        <f t="shared" si="11"/>
        <v>1</v>
      </c>
    </row>
    <row r="42" spans="1:18" s="155" customFormat="1" ht="15">
      <c r="A42" s="170" t="s">
        <v>205</v>
      </c>
      <c r="B42" s="168">
        <f t="shared" ref="B42:O42" si="12">EXP(V2_*phir1^2*((_del1-_del2)^2+2*$I$39*_del1*_del2)/1.987/T..)</f>
        <v>1</v>
      </c>
      <c r="C42" s="168">
        <f t="shared" si="12"/>
        <v>1.0003504058870856</v>
      </c>
      <c r="D42" s="168">
        <f t="shared" si="12"/>
        <v>1.0013414851004465</v>
      </c>
      <c r="E42" s="168">
        <f t="shared" si="12"/>
        <v>1.0043866084313879</v>
      </c>
      <c r="F42" s="168">
        <f t="shared" si="12"/>
        <v>1.0169916042827267</v>
      </c>
      <c r="G42" s="168">
        <f t="shared" si="12"/>
        <v>1.0613401869955339</v>
      </c>
      <c r="H42" s="168">
        <f t="shared" si="12"/>
        <v>1.0913547267280208</v>
      </c>
      <c r="I42" s="168">
        <f t="shared" si="12"/>
        <v>1.3860617782271629</v>
      </c>
      <c r="J42" s="168">
        <f t="shared" si="12"/>
        <v>1.9717003229910215</v>
      </c>
      <c r="K42" s="168">
        <f t="shared" si="12"/>
        <v>2.6888943957406983</v>
      </c>
      <c r="L42" s="168">
        <f t="shared" si="12"/>
        <v>5.1856219032953943</v>
      </c>
      <c r="M42" s="168">
        <f t="shared" si="12"/>
        <v>9.6355230129680614</v>
      </c>
      <c r="N42" s="168">
        <f t="shared" si="12"/>
        <v>9.6325782553196415</v>
      </c>
      <c r="O42" s="168">
        <f t="shared" si="12"/>
        <v>12.501637036017343</v>
      </c>
    </row>
    <row r="43" spans="1:18" s="155" customFormat="1" ht="16">
      <c r="A43" s="168" t="s">
        <v>203</v>
      </c>
      <c r="B43" s="168">
        <f t="shared" ref="B43:O43" si="13">10^($D$10-$E$10/(T..-273.15+$F$10))</f>
        <v>1360.423234780093</v>
      </c>
      <c r="C43" s="168">
        <f t="shared" si="13"/>
        <v>1206.1052803521961</v>
      </c>
      <c r="D43" s="168">
        <f t="shared" si="13"/>
        <v>1097.8500058846741</v>
      </c>
      <c r="E43" s="168">
        <f t="shared" si="13"/>
        <v>970.38272384152378</v>
      </c>
      <c r="F43" s="168">
        <f t="shared" si="13"/>
        <v>809.73204004953698</v>
      </c>
      <c r="G43" s="168">
        <f t="shared" si="13"/>
        <v>680.29239003478949</v>
      </c>
      <c r="H43" s="168">
        <f t="shared" si="13"/>
        <v>650.46011595011009</v>
      </c>
      <c r="I43" s="168">
        <f t="shared" si="13"/>
        <v>593.27548159853472</v>
      </c>
      <c r="J43" s="168">
        <f t="shared" si="13"/>
        <v>588.07783658525818</v>
      </c>
      <c r="K43" s="168">
        <f t="shared" si="13"/>
        <v>588.25621843253737</v>
      </c>
      <c r="L43" s="168">
        <f t="shared" si="13"/>
        <v>598.28004140038888</v>
      </c>
      <c r="M43" s="168">
        <f t="shared" si="13"/>
        <v>668.76553104747256</v>
      </c>
      <c r="N43" s="168">
        <f t="shared" si="13"/>
        <v>668.69355284184496</v>
      </c>
      <c r="O43" s="168">
        <f t="shared" si="13"/>
        <v>759.99495014210504</v>
      </c>
    </row>
    <row r="44" spans="1:18" s="155" customFormat="1" ht="16">
      <c r="A44" s="168" t="s">
        <v>206</v>
      </c>
      <c r="B44" s="168">
        <f t="shared" ref="B44:O44" si="14">10^($D$11-$E$11/(T..-273.15+$F$11))</f>
        <v>759.99586963211163</v>
      </c>
      <c r="C44" s="168">
        <f t="shared" si="14"/>
        <v>684.86837840408862</v>
      </c>
      <c r="D44" s="168">
        <f t="shared" si="14"/>
        <v>631.32494899618143</v>
      </c>
      <c r="E44" s="168">
        <f t="shared" si="14"/>
        <v>567.27590934781563</v>
      </c>
      <c r="F44" s="168">
        <f t="shared" si="14"/>
        <v>484.77424529450172</v>
      </c>
      <c r="G44" s="168">
        <f t="shared" si="14"/>
        <v>416.59140440912904</v>
      </c>
      <c r="H44" s="168">
        <f t="shared" si="14"/>
        <v>400.62691034822058</v>
      </c>
      <c r="I44" s="168">
        <f t="shared" si="14"/>
        <v>369.73189911694766</v>
      </c>
      <c r="J44" s="168">
        <f t="shared" si="14"/>
        <v>366.90365908738164</v>
      </c>
      <c r="K44" s="168">
        <f t="shared" si="14"/>
        <v>367.00078116916711</v>
      </c>
      <c r="L44" s="168">
        <f t="shared" si="14"/>
        <v>372.45180856545261</v>
      </c>
      <c r="M44" s="168">
        <f t="shared" si="14"/>
        <v>410.43482236666813</v>
      </c>
      <c r="N44" s="168">
        <f t="shared" si="14"/>
        <v>410.39633155707287</v>
      </c>
      <c r="O44" s="168">
        <f t="shared" si="14"/>
        <v>458.7727497369948</v>
      </c>
    </row>
    <row r="45" spans="1:18" ht="15">
      <c r="A45" s="168" t="s">
        <v>252</v>
      </c>
      <c r="B45" s="168">
        <f t="shared" ref="B45:O45" si="15">x1..*gam1..*P1sat../Pexpt</f>
        <v>0</v>
      </c>
      <c r="C45" s="168">
        <f t="shared" si="15"/>
        <v>0.12170327389226415</v>
      </c>
      <c r="D45" s="168">
        <f t="shared" si="15"/>
        <v>0.20945461254557959</v>
      </c>
      <c r="E45" s="168">
        <f t="shared" si="15"/>
        <v>0.31606815221694556</v>
      </c>
      <c r="F45" s="168">
        <f t="shared" si="15"/>
        <v>0.4578103374498701</v>
      </c>
      <c r="G45" s="168">
        <f t="shared" si="15"/>
        <v>0.5838637083648438</v>
      </c>
      <c r="H45" s="168">
        <f t="shared" si="15"/>
        <v>0.61653194998048066</v>
      </c>
      <c r="I45" s="168">
        <f t="shared" si="15"/>
        <v>0.69585068800872807</v>
      </c>
      <c r="J45" s="168">
        <f t="shared" si="15"/>
        <v>0.7134724174738527</v>
      </c>
      <c r="K45" s="168">
        <f t="shared" si="15"/>
        <v>0.71681038959056209</v>
      </c>
      <c r="L45" s="168">
        <f t="shared" si="15"/>
        <v>0.74072331548304171</v>
      </c>
      <c r="M45" s="168">
        <f t="shared" si="15"/>
        <v>0.85950871311427757</v>
      </c>
      <c r="N45" s="168">
        <f t="shared" si="15"/>
        <v>0.85939512651294026</v>
      </c>
      <c r="O45" s="168">
        <f t="shared" si="15"/>
        <v>0.99999335545013823</v>
      </c>
    </row>
    <row r="46" spans="1:18" ht="15">
      <c r="A46" s="168" t="s">
        <v>253</v>
      </c>
      <c r="B46" s="180">
        <f t="shared" ref="B46:O46" si="16">(1-x1..)*gam2..*P2sat../Pexpt</f>
        <v>0.99999456530541009</v>
      </c>
      <c r="C46" s="180">
        <f t="shared" si="16"/>
        <v>0.87802045124677686</v>
      </c>
      <c r="D46" s="180">
        <f t="shared" si="16"/>
        <v>0.79021482751100003</v>
      </c>
      <c r="E46" s="180">
        <f t="shared" si="16"/>
        <v>0.68371719196162084</v>
      </c>
      <c r="F46" s="180">
        <f t="shared" si="16"/>
        <v>0.54231247118070369</v>
      </c>
      <c r="G46" s="180">
        <f t="shared" si="16"/>
        <v>0.4164254880331088</v>
      </c>
      <c r="H46" s="180">
        <f t="shared" si="16"/>
        <v>0.3837234081571097</v>
      </c>
      <c r="I46" s="180">
        <f t="shared" si="16"/>
        <v>0.30411123072942292</v>
      </c>
      <c r="J46" s="180">
        <f t="shared" si="16"/>
        <v>0.28651400394984555</v>
      </c>
      <c r="K46" s="180">
        <f t="shared" si="16"/>
        <v>0.28306334596128224</v>
      </c>
      <c r="L46" s="180">
        <f t="shared" si="16"/>
        <v>0.25921343967728599</v>
      </c>
      <c r="M46" s="180">
        <f t="shared" si="16"/>
        <v>0.14032803775749597</v>
      </c>
      <c r="N46" s="180">
        <f t="shared" si="16"/>
        <v>0.14044173558464418</v>
      </c>
      <c r="O46" s="180">
        <f t="shared" si="16"/>
        <v>0</v>
      </c>
    </row>
    <row r="47" spans="1:18">
      <c r="A47" s="168" t="s">
        <v>38</v>
      </c>
      <c r="B47" s="168">
        <v>353.24941837176107</v>
      </c>
      <c r="C47" s="168">
        <v>349.90448173018666</v>
      </c>
      <c r="D47" s="168">
        <v>347.34006359568258</v>
      </c>
      <c r="E47" s="168">
        <v>344.03700173529143</v>
      </c>
      <c r="F47" s="168">
        <v>339.31701864409479</v>
      </c>
      <c r="G47" s="168">
        <v>334.9080466170854</v>
      </c>
      <c r="H47" s="168">
        <v>333.79345601344033</v>
      </c>
      <c r="I47" s="168">
        <v>331.53183312834597</v>
      </c>
      <c r="J47" s="168">
        <v>331.31734797112767</v>
      </c>
      <c r="K47" s="168">
        <v>331.3247352723742</v>
      </c>
      <c r="L47" s="168">
        <v>331.7368704736927</v>
      </c>
      <c r="M47" s="168">
        <v>334.4823116229889</v>
      </c>
      <c r="N47" s="168">
        <v>334.47963398826869</v>
      </c>
      <c r="O47" s="168">
        <v>337.69756369680414</v>
      </c>
      <c r="P47" s="156" t="s">
        <v>209</v>
      </c>
    </row>
    <row r="48" spans="1:18" ht="16">
      <c r="A48" s="180" t="s">
        <v>216</v>
      </c>
      <c r="B48" s="168">
        <f t="shared" ref="B48:O48" si="17">(y1..+y2..-1)^2</f>
        <v>2.9535905285618438E-11</v>
      </c>
      <c r="C48" s="168">
        <f t="shared" si="17"/>
        <v>7.6327798797940799E-8</v>
      </c>
      <c r="D48" s="168">
        <f t="shared" si="17"/>
        <v>1.0926987619406492E-7</v>
      </c>
      <c r="E48" s="168">
        <f t="shared" si="17"/>
        <v>4.6077121675307954E-8</v>
      </c>
      <c r="F48" s="168">
        <f t="shared" si="17"/>
        <v>1.5081959743409543E-8</v>
      </c>
      <c r="G48" s="168">
        <f t="shared" si="17"/>
        <v>8.363455658873046E-8</v>
      </c>
      <c r="H48" s="168">
        <f t="shared" si="17"/>
        <v>6.5207778433620729E-8</v>
      </c>
      <c r="I48" s="168">
        <f t="shared" si="17"/>
        <v>1.4501825040128693E-9</v>
      </c>
      <c r="J48" s="168">
        <f t="shared" si="17"/>
        <v>1.8437773438375435E-10</v>
      </c>
      <c r="K48" s="168">
        <f t="shared" si="17"/>
        <v>1.5942710868054938E-8</v>
      </c>
      <c r="L48" s="168">
        <f t="shared" si="17"/>
        <v>3.9999097451671506E-9</v>
      </c>
      <c r="M48" s="168">
        <f t="shared" si="17"/>
        <v>2.665027786668152E-8</v>
      </c>
      <c r="N48" s="168">
        <f t="shared" si="17"/>
        <v>2.6613975204569036E-8</v>
      </c>
      <c r="O48" s="168">
        <f t="shared" si="17"/>
        <v>4.4150042865512164E-11</v>
      </c>
      <c r="P48" s="180">
        <f>SUM(B48:O48)</f>
        <v>4.705142113040947E-7</v>
      </c>
    </row>
    <row r="49" spans="1:16">
      <c r="A49" s="157"/>
      <c r="B49" s="155"/>
      <c r="C49" s="155"/>
      <c r="D49" s="155"/>
    </row>
    <row r="50" spans="1:16">
      <c r="A50" s="157"/>
      <c r="B50" s="155"/>
      <c r="C50" s="155"/>
      <c r="D50" s="155"/>
    </row>
    <row r="51" spans="1:16">
      <c r="A51" s="157"/>
      <c r="B51" s="155"/>
      <c r="C51" s="155"/>
      <c r="D51" s="155"/>
    </row>
    <row r="52" spans="1:16" ht="15">
      <c r="A52" s="156" t="s">
        <v>221</v>
      </c>
    </row>
    <row r="53" spans="1:16">
      <c r="A53" s="156" t="s">
        <v>305</v>
      </c>
    </row>
    <row r="54" spans="1:16" ht="16">
      <c r="A54" s="171" t="s">
        <v>203</v>
      </c>
      <c r="B54" s="171">
        <f>10^($D$10-$E$10/(58.3+$F$10))</f>
        <v>591.28789496549302</v>
      </c>
      <c r="D54" s="172" t="s">
        <v>204</v>
      </c>
      <c r="E54" s="156">
        <f>$I$13/B54</f>
        <v>1.2853298815534737</v>
      </c>
      <c r="G54" s="156" t="s">
        <v>219</v>
      </c>
      <c r="H54" s="156">
        <f>LN(E54)*(1+0.386*LN(E55)/0.614/LN(E54))^2</f>
        <v>1.9847477282664872</v>
      </c>
    </row>
    <row r="55" spans="1:16" ht="16">
      <c r="A55" s="171" t="s">
        <v>206</v>
      </c>
      <c r="B55" s="171">
        <f>10^($D$11-$E$11/(58.3+$F$11))</f>
        <v>368.65078598834526</v>
      </c>
      <c r="D55" s="182" t="s">
        <v>205</v>
      </c>
      <c r="E55" s="156">
        <f>$I$13/B55</f>
        <v>2.0615716251966085</v>
      </c>
      <c r="G55" s="156" t="s">
        <v>220</v>
      </c>
      <c r="H55" s="156">
        <f>LN(E55)*(1+0.614*LN(E54)/0.386/LN(E55))^2</f>
        <v>1.7424010368337413</v>
      </c>
    </row>
    <row r="56" spans="1:16" ht="15">
      <c r="A56" s="168" t="s">
        <v>50</v>
      </c>
      <c r="B56" s="168">
        <f>B$14</f>
        <v>0</v>
      </c>
      <c r="C56" s="168">
        <f t="shared" ref="C56:O56" si="18">C$14</f>
        <v>2.5999999999999999E-2</v>
      </c>
      <c r="D56" s="168">
        <f t="shared" si="18"/>
        <v>0.05</v>
      </c>
      <c r="E56" s="168">
        <f t="shared" si="18"/>
        <v>8.7999999999999995E-2</v>
      </c>
      <c r="F56" s="168">
        <f t="shared" si="18"/>
        <v>0.16400000000000001</v>
      </c>
      <c r="G56" s="168">
        <f t="shared" si="18"/>
        <v>0.28420941450762771</v>
      </c>
      <c r="H56" s="168">
        <f t="shared" si="18"/>
        <v>0.33300000000000002</v>
      </c>
      <c r="I56" s="168">
        <f t="shared" si="18"/>
        <v>0.54900000000000004</v>
      </c>
      <c r="J56" s="168">
        <f t="shared" si="18"/>
        <v>0.69899999999999995</v>
      </c>
      <c r="K56" s="168">
        <f t="shared" si="18"/>
        <v>0.78200000000000003</v>
      </c>
      <c r="L56" s="168">
        <f t="shared" si="18"/>
        <v>0.89800000000000002</v>
      </c>
      <c r="M56" s="168">
        <f t="shared" si="18"/>
        <v>0.97303263263832951</v>
      </c>
      <c r="N56" s="168">
        <f t="shared" si="18"/>
        <v>0.97299999999999998</v>
      </c>
      <c r="O56" s="168">
        <f t="shared" si="18"/>
        <v>1</v>
      </c>
    </row>
    <row r="57" spans="1:16" s="155" customFormat="1" ht="15">
      <c r="A57" s="170" t="s">
        <v>204</v>
      </c>
      <c r="B57" s="168">
        <f t="shared" ref="B57:N57" si="19">EXP(A12./(1+A12.*x1.../A21./(1-x1...))^2)</f>
        <v>7.2772113191547136</v>
      </c>
      <c r="C57" s="168">
        <f t="shared" si="19"/>
        <v>6.4840024517424126</v>
      </c>
      <c r="D57" s="168">
        <f t="shared" si="19"/>
        <v>5.8508002076926235</v>
      </c>
      <c r="E57" s="168">
        <f t="shared" si="19"/>
        <v>5.0084239724870185</v>
      </c>
      <c r="F57" s="168">
        <f t="shared" si="19"/>
        <v>3.765766345079907</v>
      </c>
      <c r="G57" s="168">
        <f t="shared" si="19"/>
        <v>2.5626179304021774</v>
      </c>
      <c r="H57" s="168">
        <f t="shared" si="19"/>
        <v>2.2401650739555361</v>
      </c>
      <c r="I57" s="168">
        <f t="shared" si="19"/>
        <v>1.4168736551588292</v>
      </c>
      <c r="J57" s="168">
        <f t="shared" si="19"/>
        <v>1.1610967777970596</v>
      </c>
      <c r="K57" s="168">
        <f t="shared" si="19"/>
        <v>1.0797453153886609</v>
      </c>
      <c r="L57" s="168">
        <f t="shared" si="19"/>
        <v>1.0164522574417065</v>
      </c>
      <c r="M57" s="168">
        <f t="shared" si="19"/>
        <v>1.001120407616868</v>
      </c>
      <c r="N57" s="168">
        <f t="shared" si="19"/>
        <v>1.0011231313284745</v>
      </c>
      <c r="O57" s="168">
        <v>1</v>
      </c>
    </row>
    <row r="58" spans="1:16" s="155" customFormat="1" ht="15">
      <c r="A58" s="170" t="s">
        <v>205</v>
      </c>
      <c r="B58" s="168">
        <v>1</v>
      </c>
      <c r="C58" s="168">
        <f t="shared" ref="C58:O58" si="20">EXP(A21./(1+A21.*(1-x1...)/A12./x1...)^2)</f>
        <v>1.0015184598952696</v>
      </c>
      <c r="D58" s="168">
        <f t="shared" si="20"/>
        <v>1.0055897695292455</v>
      </c>
      <c r="E58" s="168">
        <f t="shared" si="20"/>
        <v>1.0172336288063357</v>
      </c>
      <c r="F58" s="168">
        <f t="shared" si="20"/>
        <v>1.0598470384682945</v>
      </c>
      <c r="G58" s="168">
        <f t="shared" si="20"/>
        <v>1.1841102875665144</v>
      </c>
      <c r="H58" s="168">
        <f t="shared" si="20"/>
        <v>1.2573351218125117</v>
      </c>
      <c r="I58" s="168">
        <f t="shared" si="20"/>
        <v>1.8006654529984316</v>
      </c>
      <c r="J58" s="168">
        <f t="shared" si="20"/>
        <v>2.5031386296224936</v>
      </c>
      <c r="K58" s="168">
        <f t="shared" si="20"/>
        <v>3.0789661047789907</v>
      </c>
      <c r="L58" s="168">
        <f t="shared" si="20"/>
        <v>4.2238356204819549</v>
      </c>
      <c r="M58" s="168">
        <f t="shared" si="20"/>
        <v>5.2625225133394347</v>
      </c>
      <c r="N58" s="168">
        <f t="shared" si="20"/>
        <v>5.2620062565631978</v>
      </c>
      <c r="O58" s="168">
        <f t="shared" si="20"/>
        <v>5.7110393897652871</v>
      </c>
    </row>
    <row r="59" spans="1:16" s="155" customFormat="1" ht="16">
      <c r="A59" s="168" t="s">
        <v>203</v>
      </c>
      <c r="B59" s="168">
        <f t="shared" ref="B59:O59" si="21">10^($D$10-$E$10/(T...-273.15+$F$10))</f>
        <v>1360.4232348650316</v>
      </c>
      <c r="C59" s="168">
        <f t="shared" si="21"/>
        <v>1035.6253453081144</v>
      </c>
      <c r="D59" s="168">
        <f t="shared" si="21"/>
        <v>885.7866648244277</v>
      </c>
      <c r="E59" s="168">
        <f t="shared" si="21"/>
        <v>759.28573583478362</v>
      </c>
      <c r="F59" s="168">
        <f t="shared" si="21"/>
        <v>653.48234058313574</v>
      </c>
      <c r="G59" s="168">
        <f t="shared" si="21"/>
        <v>605.45832207589194</v>
      </c>
      <c r="H59" s="168">
        <f t="shared" si="21"/>
        <v>599.36879850224261</v>
      </c>
      <c r="I59" s="168">
        <f t="shared" si="21"/>
        <v>591.83754984522716</v>
      </c>
      <c r="J59" s="168">
        <f t="shared" si="21"/>
        <v>593.20682427219344</v>
      </c>
      <c r="K59" s="168">
        <f t="shared" si="21"/>
        <v>602.27973807602882</v>
      </c>
      <c r="L59" s="168">
        <f t="shared" si="21"/>
        <v>644.90992103282792</v>
      </c>
      <c r="M59" s="168">
        <f t="shared" si="21"/>
        <v>716.65308797156149</v>
      </c>
      <c r="N59" s="168">
        <f t="shared" si="21"/>
        <v>716.60802157779449</v>
      </c>
      <c r="O59" s="168">
        <f t="shared" si="21"/>
        <v>759.99495014215165</v>
      </c>
    </row>
    <row r="60" spans="1:16" s="155" customFormat="1" ht="16">
      <c r="A60" s="168" t="s">
        <v>206</v>
      </c>
      <c r="B60" s="168">
        <f t="shared" ref="B60:O60" si="22">10^($D$11-$E$11/(T...-273.15+$F$11))</f>
        <v>759.99586967310381</v>
      </c>
      <c r="C60" s="168">
        <f t="shared" si="22"/>
        <v>600.20201223828894</v>
      </c>
      <c r="D60" s="168">
        <f t="shared" si="22"/>
        <v>524.09953494055219</v>
      </c>
      <c r="E60" s="168">
        <f t="shared" si="22"/>
        <v>458.40026974196724</v>
      </c>
      <c r="F60" s="168">
        <f t="shared" si="22"/>
        <v>402.24884415405177</v>
      </c>
      <c r="G60" s="168">
        <f t="shared" si="22"/>
        <v>376.34756987865688</v>
      </c>
      <c r="H60" s="168">
        <f t="shared" si="22"/>
        <v>373.04311163833518</v>
      </c>
      <c r="I60" s="168">
        <f t="shared" si="22"/>
        <v>368.9498118320127</v>
      </c>
      <c r="J60" s="168">
        <f t="shared" si="22"/>
        <v>369.694562595582</v>
      </c>
      <c r="K60" s="168">
        <f t="shared" si="22"/>
        <v>374.62330479961082</v>
      </c>
      <c r="L60" s="168">
        <f t="shared" si="22"/>
        <v>397.64553130573444</v>
      </c>
      <c r="M60" s="168">
        <f t="shared" si="22"/>
        <v>435.91689824134147</v>
      </c>
      <c r="N60" s="168">
        <f t="shared" si="22"/>
        <v>435.89303287897934</v>
      </c>
      <c r="O60" s="168">
        <f t="shared" si="22"/>
        <v>458.77274973701924</v>
      </c>
    </row>
    <row r="61" spans="1:16" ht="15">
      <c r="A61" s="168" t="s">
        <v>252</v>
      </c>
      <c r="B61" s="168">
        <f t="shared" ref="B61:O61" si="23">x1...*gam1...*P1sat.../Pexpt</f>
        <v>0</v>
      </c>
      <c r="C61" s="168">
        <f t="shared" si="23"/>
        <v>0.22972359109167673</v>
      </c>
      <c r="D61" s="168">
        <f t="shared" si="23"/>
        <v>0.34095794753461306</v>
      </c>
      <c r="E61" s="168">
        <f t="shared" si="23"/>
        <v>0.44032709152153826</v>
      </c>
      <c r="F61" s="168">
        <f t="shared" si="23"/>
        <v>0.53102807376922501</v>
      </c>
      <c r="G61" s="168">
        <f t="shared" si="23"/>
        <v>0.58022038272507581</v>
      </c>
      <c r="H61" s="168">
        <f t="shared" si="23"/>
        <v>0.58830805428710253</v>
      </c>
      <c r="I61" s="168">
        <f t="shared" si="23"/>
        <v>0.60574856427327572</v>
      </c>
      <c r="J61" s="168">
        <f t="shared" si="23"/>
        <v>0.6334876342480783</v>
      </c>
      <c r="K61" s="168">
        <f t="shared" si="23"/>
        <v>0.66913345201255481</v>
      </c>
      <c r="L61" s="168">
        <f t="shared" si="23"/>
        <v>0.774548803002859</v>
      </c>
      <c r="M61" s="168">
        <f t="shared" si="23"/>
        <v>0.91856333050173999</v>
      </c>
      <c r="N61" s="168">
        <f t="shared" si="23"/>
        <v>0.91847726197584723</v>
      </c>
      <c r="O61" s="168">
        <f t="shared" si="23"/>
        <v>0.99999335545019952</v>
      </c>
    </row>
    <row r="62" spans="1:16" ht="15">
      <c r="A62" s="168" t="s">
        <v>253</v>
      </c>
      <c r="B62" s="180">
        <f t="shared" ref="B62:O62" si="24">(1-x1...)*gam2...*P2sat.../Pexpt</f>
        <v>0.99999456535934717</v>
      </c>
      <c r="C62" s="180">
        <f t="shared" si="24"/>
        <v>0.77037427191439034</v>
      </c>
      <c r="D62" s="180">
        <f t="shared" si="24"/>
        <v>0.65878641318906828</v>
      </c>
      <c r="E62" s="180">
        <f t="shared" si="24"/>
        <v>0.55956020380250937</v>
      </c>
      <c r="F62" s="180">
        <f t="shared" si="24"/>
        <v>0.46895447082436292</v>
      </c>
      <c r="G62" s="180">
        <f t="shared" si="24"/>
        <v>0.41971419742610122</v>
      </c>
      <c r="H62" s="180">
        <f t="shared" si="24"/>
        <v>0.41164449676860626</v>
      </c>
      <c r="I62" s="180">
        <f t="shared" si="24"/>
        <v>0.39424235027017879</v>
      </c>
      <c r="J62" s="180">
        <f t="shared" si="24"/>
        <v>0.36650581444620017</v>
      </c>
      <c r="K62" s="180">
        <f t="shared" si="24"/>
        <v>0.33085873124124637</v>
      </c>
      <c r="L62" s="180">
        <f t="shared" si="24"/>
        <v>0.22541857192680603</v>
      </c>
      <c r="M62" s="180">
        <f t="shared" si="24"/>
        <v>8.1399667433049439E-2</v>
      </c>
      <c r="N62" s="180">
        <f t="shared" si="24"/>
        <v>8.1485711036105885E-2</v>
      </c>
      <c r="O62" s="180">
        <f t="shared" si="24"/>
        <v>0</v>
      </c>
    </row>
    <row r="63" spans="1:16">
      <c r="A63" s="168" t="s">
        <v>38</v>
      </c>
      <c r="B63" s="168">
        <v>353.249418373514</v>
      </c>
      <c r="C63" s="168">
        <v>345.76977056227628</v>
      </c>
      <c r="D63" s="168">
        <v>341.64014571246003</v>
      </c>
      <c r="E63" s="168">
        <v>337.67384081078308</v>
      </c>
      <c r="F63" s="168">
        <v>333.90829254682114</v>
      </c>
      <c r="G63" s="168">
        <v>332.02847564692098</v>
      </c>
      <c r="H63" s="168">
        <v>331.78128690905118</v>
      </c>
      <c r="I63" s="168">
        <v>331.47265343586326</v>
      </c>
      <c r="J63" s="168">
        <v>331.52901018785423</v>
      </c>
      <c r="K63" s="168">
        <v>331.89970980015408</v>
      </c>
      <c r="L63" s="168">
        <v>333.58139769958552</v>
      </c>
      <c r="M63" s="168">
        <v>336.21267934497672</v>
      </c>
      <c r="N63" s="168">
        <v>336.21109686608173</v>
      </c>
      <c r="O63" s="168">
        <v>337.69756369680567</v>
      </c>
      <c r="P63" s="156" t="s">
        <v>209</v>
      </c>
    </row>
    <row r="64" spans="1:16" ht="16">
      <c r="A64" s="180" t="s">
        <v>216</v>
      </c>
      <c r="B64" s="168">
        <f t="shared" ref="B64:O64" si="25">(y1...+y2...-1)^2</f>
        <v>2.9535319025446222E-11</v>
      </c>
      <c r="C64" s="168">
        <f t="shared" si="25"/>
        <v>9.5771679564828131E-9</v>
      </c>
      <c r="D64" s="168">
        <f t="shared" si="25"/>
        <v>6.5351439596730415E-8</v>
      </c>
      <c r="E64" s="168">
        <f t="shared" si="25"/>
        <v>1.2702343981528427E-8</v>
      </c>
      <c r="F64" s="168">
        <f t="shared" si="25"/>
        <v>3.0469121301054206E-10</v>
      </c>
      <c r="G64" s="168">
        <f t="shared" si="25"/>
        <v>4.279756620027167E-9</v>
      </c>
      <c r="H64" s="168">
        <f t="shared" si="25"/>
        <v>2.2514023143499965E-9</v>
      </c>
      <c r="I64" s="168">
        <f t="shared" si="25"/>
        <v>8.2545520640957054E-11</v>
      </c>
      <c r="J64" s="168">
        <f t="shared" si="25"/>
        <v>4.2919606656158311E-11</v>
      </c>
      <c r="K64" s="168">
        <f t="shared" si="25"/>
        <v>6.1101521135880022E-11</v>
      </c>
      <c r="L64" s="168">
        <f t="shared" si="25"/>
        <v>1.0643952143616364E-9</v>
      </c>
      <c r="M64" s="168">
        <f t="shared" si="25"/>
        <v>1.3691528298429719E-9</v>
      </c>
      <c r="N64" s="168">
        <f t="shared" si="25"/>
        <v>1.3709978438224695E-9</v>
      </c>
      <c r="O64" s="168">
        <f t="shared" si="25"/>
        <v>4.4150042051098846E-11</v>
      </c>
      <c r="P64" s="180">
        <f>SUM(B64:O64)</f>
        <v>9.8531599579665978E-8</v>
      </c>
    </row>
    <row r="65" spans="1:16"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</row>
    <row r="66" spans="1:16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</row>
    <row r="67" spans="1:16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</row>
    <row r="68" spans="1:16">
      <c r="A68" s="155"/>
      <c r="B68" s="159"/>
      <c r="C68" s="158"/>
      <c r="D68" s="158"/>
      <c r="E68" s="158"/>
      <c r="F68" s="158"/>
    </row>
    <row r="69" spans="1:16">
      <c r="A69" s="157"/>
      <c r="B69" s="155"/>
      <c r="C69" s="155"/>
      <c r="D69" s="155"/>
      <c r="E69" s="155"/>
      <c r="F69" s="155"/>
    </row>
    <row r="70" spans="1:16">
      <c r="B70" s="155"/>
      <c r="C70" s="155"/>
    </row>
    <row r="73" spans="1:16"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</row>
    <row r="74" spans="1:16"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</row>
    <row r="75" spans="1:16"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</row>
    <row r="78" spans="1:16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</row>
    <row r="79" spans="1:16"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</row>
    <row r="80" spans="1:16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</row>
    <row r="83" spans="2:10">
      <c r="B83" s="155"/>
      <c r="C83" s="155"/>
      <c r="D83" s="155"/>
      <c r="E83" s="155"/>
      <c r="F83" s="155"/>
      <c r="G83" s="155"/>
      <c r="H83" s="155"/>
      <c r="I83" s="155"/>
      <c r="J83" s="155"/>
    </row>
    <row r="84" spans="2:10">
      <c r="B84" s="155"/>
      <c r="C84" s="155"/>
      <c r="D84" s="155"/>
      <c r="E84" s="155"/>
      <c r="F84" s="155"/>
      <c r="G84" s="155"/>
      <c r="H84" s="155"/>
      <c r="I84" s="155"/>
      <c r="J84" s="155"/>
    </row>
    <row r="85" spans="2:10">
      <c r="B85" s="155"/>
      <c r="C85" s="155"/>
      <c r="D85" s="155"/>
      <c r="E85" s="155"/>
      <c r="F85" s="155"/>
      <c r="G85" s="155"/>
      <c r="H85" s="155"/>
      <c r="I85" s="155"/>
      <c r="J85" s="155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180" verticalDpi="18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8"/>
  <sheetViews>
    <sheetView workbookViewId="0">
      <selection activeCell="A2" sqref="A2"/>
    </sheetView>
  </sheetViews>
  <sheetFormatPr baseColWidth="10" defaultColWidth="8" defaultRowHeight="13"/>
  <cols>
    <col min="1" max="16384" width="8" style="263"/>
  </cols>
  <sheetData>
    <row r="1" spans="2:7">
      <c r="B1" s="263" t="s">
        <v>330</v>
      </c>
      <c r="F1" s="263" t="s">
        <v>329</v>
      </c>
    </row>
    <row r="2" spans="2:7" ht="15">
      <c r="C2" s="264" t="s">
        <v>334</v>
      </c>
      <c r="D2" s="279">
        <v>200</v>
      </c>
      <c r="F2" s="264" t="s">
        <v>337</v>
      </c>
      <c r="G2" s="263">
        <f>D2/D5</f>
        <v>0.67080328693610602</v>
      </c>
    </row>
    <row r="3" spans="2:7" ht="15">
      <c r="C3" s="264" t="s">
        <v>335</v>
      </c>
      <c r="D3" s="279">
        <v>200</v>
      </c>
      <c r="F3" s="264" t="s">
        <v>338</v>
      </c>
      <c r="G3" s="263">
        <f>D3/D5</f>
        <v>0.67080328693610602</v>
      </c>
    </row>
    <row r="4" spans="2:7" ht="15">
      <c r="C4" s="264" t="s">
        <v>336</v>
      </c>
      <c r="D4" s="279">
        <v>0.2</v>
      </c>
      <c r="F4" s="269" t="s">
        <v>339</v>
      </c>
      <c r="G4" s="263">
        <f>EXP(-D4*G2)</f>
        <v>0.87444956653499373</v>
      </c>
    </row>
    <row r="5" spans="2:7" ht="15">
      <c r="C5" s="280" t="s">
        <v>331</v>
      </c>
      <c r="D5" s="279">
        <v>298.14999999999998</v>
      </c>
      <c r="F5" s="269" t="s">
        <v>340</v>
      </c>
      <c r="G5" s="263">
        <f>EXP(-D4*G3)</f>
        <v>0.87444956653499373</v>
      </c>
    </row>
    <row r="7" spans="2:7">
      <c r="B7" s="263" t="s">
        <v>28</v>
      </c>
      <c r="C7" s="280" t="s">
        <v>29</v>
      </c>
      <c r="D7" s="264" t="s">
        <v>332</v>
      </c>
      <c r="E7" s="264" t="s">
        <v>333</v>
      </c>
    </row>
    <row r="8" spans="2:7">
      <c r="B8" s="263">
        <v>0</v>
      </c>
      <c r="C8" s="263">
        <f t="shared" ref="C8:C28" si="0">1-x1.</f>
        <v>1</v>
      </c>
      <c r="D8" s="263">
        <f t="shared" ref="D8:D28" si="1">EXP(x2.^2*(t21.*(g21./(x1.+x2.*g21.))^2+t12.*g12./(x2.+x1.*g12.)^2))</f>
        <v>3.5162213412928449</v>
      </c>
      <c r="E8" s="263">
        <f t="shared" ref="E8:E28" si="2">EXP(x1.^2*(t12.*(g12./(x2.+x1.*g12.))^2+t21.*g21./(x1.+x2.*g21.)^2))</f>
        <v>1</v>
      </c>
    </row>
    <row r="9" spans="2:7">
      <c r="B9" s="263">
        <v>0.05</v>
      </c>
      <c r="C9" s="263">
        <f t="shared" si="0"/>
        <v>0.95</v>
      </c>
      <c r="D9" s="263">
        <f t="shared" si="1"/>
        <v>3.1046529659059239</v>
      </c>
      <c r="E9" s="263">
        <f t="shared" si="2"/>
        <v>1.0031942340335018</v>
      </c>
    </row>
    <row r="10" spans="2:7">
      <c r="B10" s="263">
        <v>0.1</v>
      </c>
      <c r="C10" s="263">
        <f t="shared" si="0"/>
        <v>0.9</v>
      </c>
      <c r="D10" s="263">
        <f t="shared" si="1"/>
        <v>2.7603839063313402</v>
      </c>
      <c r="E10" s="263">
        <f t="shared" si="2"/>
        <v>1.0127973627769944</v>
      </c>
    </row>
    <row r="11" spans="2:7">
      <c r="B11" s="263">
        <v>0.15</v>
      </c>
      <c r="C11" s="263">
        <f t="shared" si="0"/>
        <v>0.85</v>
      </c>
      <c r="D11" s="263">
        <f t="shared" si="1"/>
        <v>2.4711096386763343</v>
      </c>
      <c r="E11" s="263">
        <f t="shared" si="2"/>
        <v>1.0289392124028436</v>
      </c>
    </row>
    <row r="12" spans="2:7">
      <c r="B12" s="263">
        <v>0.2</v>
      </c>
      <c r="C12" s="263">
        <f t="shared" si="0"/>
        <v>0.8</v>
      </c>
      <c r="D12" s="263">
        <f t="shared" si="1"/>
        <v>2.2270606035492984</v>
      </c>
      <c r="E12" s="263">
        <f t="shared" si="2"/>
        <v>1.0518847098044506</v>
      </c>
    </row>
    <row r="13" spans="2:7">
      <c r="B13" s="263">
        <v>0.25</v>
      </c>
      <c r="C13" s="263">
        <f t="shared" si="0"/>
        <v>0.75</v>
      </c>
      <c r="D13" s="263">
        <f t="shared" si="1"/>
        <v>2.0204387704530311</v>
      </c>
      <c r="E13" s="263">
        <f t="shared" si="2"/>
        <v>1.0820415919629587</v>
      </c>
    </row>
    <row r="14" spans="2:7">
      <c r="B14" s="263">
        <v>0.3</v>
      </c>
      <c r="C14" s="263">
        <f t="shared" si="0"/>
        <v>0.7</v>
      </c>
      <c r="D14" s="263">
        <f t="shared" si="1"/>
        <v>1.844989098095063</v>
      </c>
      <c r="E14" s="263">
        <f t="shared" si="2"/>
        <v>1.1199733985402323</v>
      </c>
    </row>
    <row r="15" spans="2:7">
      <c r="B15" s="263">
        <v>0.35</v>
      </c>
      <c r="C15" s="263">
        <f t="shared" si="0"/>
        <v>0.65</v>
      </c>
      <c r="D15" s="263">
        <f t="shared" si="1"/>
        <v>1.6956717176001468</v>
      </c>
      <c r="E15" s="263">
        <f t="shared" si="2"/>
        <v>1.1664183649555311</v>
      </c>
    </row>
    <row r="16" spans="2:7">
      <c r="B16" s="263">
        <v>0.4</v>
      </c>
      <c r="C16" s="263">
        <f t="shared" si="0"/>
        <v>0.6</v>
      </c>
      <c r="D16" s="263">
        <f t="shared" si="1"/>
        <v>1.5684098079557436</v>
      </c>
      <c r="E16" s="263">
        <f t="shared" si="2"/>
        <v>1.2223151617814934</v>
      </c>
    </row>
    <row r="17" spans="2:5">
      <c r="B17" s="263">
        <v>0.45</v>
      </c>
      <c r="C17" s="263">
        <f t="shared" si="0"/>
        <v>0.55000000000000004</v>
      </c>
      <c r="D17" s="263">
        <f t="shared" si="1"/>
        <v>1.4598947180787383</v>
      </c>
      <c r="E17" s="263">
        <f t="shared" si="2"/>
        <v>1.288836819377158</v>
      </c>
    </row>
    <row r="18" spans="2:5">
      <c r="B18" s="263">
        <v>0.5</v>
      </c>
      <c r="C18" s="263">
        <f t="shared" si="0"/>
        <v>0.5</v>
      </c>
      <c r="D18" s="263">
        <f t="shared" si="1"/>
        <v>1.3674346645894071</v>
      </c>
      <c r="E18" s="263">
        <f t="shared" si="2"/>
        <v>1.3674346645894071</v>
      </c>
    </row>
    <row r="19" spans="2:5">
      <c r="B19" s="263">
        <v>0.55000000000000004</v>
      </c>
      <c r="C19" s="263">
        <f t="shared" si="0"/>
        <v>0.44999999999999996</v>
      </c>
      <c r="D19" s="263">
        <f t="shared" si="1"/>
        <v>1.288836819377158</v>
      </c>
      <c r="E19" s="263">
        <f t="shared" si="2"/>
        <v>1.4598947180787383</v>
      </c>
    </row>
    <row r="20" spans="2:5">
      <c r="B20" s="263">
        <v>0.6</v>
      </c>
      <c r="C20" s="263">
        <f t="shared" si="0"/>
        <v>0.4</v>
      </c>
      <c r="D20" s="263">
        <f t="shared" si="1"/>
        <v>1.2223151617814934</v>
      </c>
      <c r="E20" s="263">
        <f t="shared" si="2"/>
        <v>1.5684098079557436</v>
      </c>
    </row>
    <row r="21" spans="2:5">
      <c r="B21" s="263">
        <v>0.65</v>
      </c>
      <c r="C21" s="263">
        <f t="shared" si="0"/>
        <v>0.35</v>
      </c>
      <c r="D21" s="263">
        <f t="shared" si="1"/>
        <v>1.1664183649555311</v>
      </c>
      <c r="E21" s="263">
        <f t="shared" si="2"/>
        <v>1.6956717176001468</v>
      </c>
    </row>
    <row r="22" spans="2:5">
      <c r="B22" s="263">
        <v>0.7</v>
      </c>
      <c r="C22" s="263">
        <f t="shared" si="0"/>
        <v>0.30000000000000004</v>
      </c>
      <c r="D22" s="263">
        <f t="shared" si="1"/>
        <v>1.1199733985402323</v>
      </c>
      <c r="E22" s="263">
        <f t="shared" si="2"/>
        <v>1.844989098095063</v>
      </c>
    </row>
    <row r="23" spans="2:5">
      <c r="B23" s="263">
        <v>0.75</v>
      </c>
      <c r="C23" s="263">
        <f t="shared" si="0"/>
        <v>0.25</v>
      </c>
      <c r="D23" s="263">
        <f t="shared" si="1"/>
        <v>1.0820415919629587</v>
      </c>
      <c r="E23" s="263">
        <f t="shared" si="2"/>
        <v>2.0204387704530311</v>
      </c>
    </row>
    <row r="24" spans="2:5">
      <c r="B24" s="263">
        <v>0.8</v>
      </c>
      <c r="C24" s="263">
        <f t="shared" si="0"/>
        <v>0.19999999999999996</v>
      </c>
      <c r="D24" s="263">
        <f t="shared" si="1"/>
        <v>1.0518847098044506</v>
      </c>
      <c r="E24" s="263">
        <f t="shared" si="2"/>
        <v>2.2270606035492984</v>
      </c>
    </row>
    <row r="25" spans="2:5">
      <c r="B25" s="263">
        <v>0.85</v>
      </c>
      <c r="C25" s="263">
        <f t="shared" si="0"/>
        <v>0.15000000000000002</v>
      </c>
      <c r="D25" s="263">
        <f t="shared" si="1"/>
        <v>1.0289392124028436</v>
      </c>
      <c r="E25" s="263">
        <f t="shared" si="2"/>
        <v>2.4711096386763343</v>
      </c>
    </row>
    <row r="26" spans="2:5">
      <c r="B26" s="263">
        <v>0.9</v>
      </c>
      <c r="C26" s="263">
        <f t="shared" si="0"/>
        <v>9.9999999999999978E-2</v>
      </c>
      <c r="D26" s="263">
        <f t="shared" si="1"/>
        <v>1.0127973627769944</v>
      </c>
      <c r="E26" s="263">
        <f t="shared" si="2"/>
        <v>2.7603839063313402</v>
      </c>
    </row>
    <row r="27" spans="2:5">
      <c r="B27" s="263">
        <v>0.95</v>
      </c>
      <c r="C27" s="263">
        <f t="shared" si="0"/>
        <v>5.0000000000000044E-2</v>
      </c>
      <c r="D27" s="263">
        <f t="shared" si="1"/>
        <v>1.0031942340335018</v>
      </c>
      <c r="E27" s="263">
        <f t="shared" si="2"/>
        <v>3.1046529659059239</v>
      </c>
    </row>
    <row r="28" spans="2:5">
      <c r="B28" s="263">
        <v>1</v>
      </c>
      <c r="C28" s="263">
        <f t="shared" si="0"/>
        <v>0</v>
      </c>
      <c r="D28" s="263">
        <f t="shared" si="1"/>
        <v>1</v>
      </c>
      <c r="E28" s="263">
        <f t="shared" si="2"/>
        <v>3.5162213412928449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8"/>
  <sheetViews>
    <sheetView workbookViewId="0"/>
  </sheetViews>
  <sheetFormatPr baseColWidth="10" defaultColWidth="8" defaultRowHeight="13"/>
  <cols>
    <col min="1" max="16384" width="8" style="263"/>
  </cols>
  <sheetData>
    <row r="1" spans="2:14">
      <c r="B1" s="263" t="s">
        <v>310</v>
      </c>
    </row>
    <row r="2" spans="2:14">
      <c r="B2" s="263" t="s">
        <v>311</v>
      </c>
    </row>
    <row r="3" spans="2:14" ht="15">
      <c r="B3" s="264" t="s">
        <v>341</v>
      </c>
    </row>
    <row r="5" spans="2:14">
      <c r="B5" s="265" t="s">
        <v>38</v>
      </c>
      <c r="C5" s="266">
        <v>298.14999999999998</v>
      </c>
    </row>
    <row r="6" spans="2:14">
      <c r="B6" s="265" t="s">
        <v>78</v>
      </c>
      <c r="C6" s="266" t="s">
        <v>312</v>
      </c>
      <c r="D6" s="266" t="s">
        <v>130</v>
      </c>
      <c r="E6" s="266" t="s">
        <v>313</v>
      </c>
      <c r="F6" s="266" t="s">
        <v>167</v>
      </c>
      <c r="G6" s="266" t="s">
        <v>314</v>
      </c>
    </row>
    <row r="7" spans="2:14">
      <c r="B7" s="265" t="s">
        <v>83</v>
      </c>
      <c r="C7" s="267">
        <v>0.2</v>
      </c>
      <c r="D7" s="267">
        <v>0.2</v>
      </c>
      <c r="E7" s="267">
        <v>0.2</v>
      </c>
      <c r="F7" s="267">
        <v>0.2</v>
      </c>
      <c r="G7" s="267">
        <v>0.2</v>
      </c>
      <c r="H7" s="263" t="str">
        <f>IF(ABS(SUM(C7:G7)-1)&gt;0.001,"x values don't sum to 1","")</f>
        <v/>
      </c>
    </row>
    <row r="8" spans="2:14">
      <c r="B8" s="265" t="s">
        <v>315</v>
      </c>
      <c r="C8" s="265">
        <f>EXP(J38)</f>
        <v>0.90684328143474213</v>
      </c>
      <c r="D8" s="265">
        <f>EXP(K38)</f>
        <v>0.92859523066618377</v>
      </c>
      <c r="E8" s="265">
        <f>EXP(L38)</f>
        <v>1.7827906345419113</v>
      </c>
      <c r="F8" s="265">
        <f>EXP(M38)</f>
        <v>2.4821655072876525</v>
      </c>
      <c r="G8" s="265">
        <f>EXP(N38)</f>
        <v>0.8235660246702291</v>
      </c>
    </row>
    <row r="9" spans="2:14">
      <c r="I9" s="269" t="s">
        <v>329</v>
      </c>
    </row>
    <row r="10" spans="2:14">
      <c r="B10" s="263" t="s">
        <v>316</v>
      </c>
      <c r="C10" s="263" t="str">
        <f>C6</f>
        <v>HAc</v>
      </c>
      <c r="D10" s="263" t="str">
        <f>D6</f>
        <v>EtOH</v>
      </c>
      <c r="E10" s="263" t="str">
        <f>E6</f>
        <v>EtAc</v>
      </c>
      <c r="F10" s="263" t="str">
        <f>F6</f>
        <v>H2O</v>
      </c>
      <c r="G10" s="263" t="str">
        <f>G6</f>
        <v>PropAcid</v>
      </c>
    </row>
    <row r="11" spans="2:14">
      <c r="B11" s="263" t="str">
        <f>C6</f>
        <v>HAc</v>
      </c>
      <c r="C11" s="268">
        <v>0</v>
      </c>
      <c r="D11" s="266">
        <v>0</v>
      </c>
      <c r="E11" s="266">
        <v>0</v>
      </c>
      <c r="F11" s="266">
        <v>-1.9762999999999999</v>
      </c>
      <c r="G11" s="266">
        <v>-3.0775999999999999</v>
      </c>
      <c r="I11" s="270" t="s">
        <v>317</v>
      </c>
      <c r="J11" s="271">
        <f t="array" ref="J11:N15">C11:G15+C18:G22/C5</f>
        <v>0</v>
      </c>
      <c r="K11" s="271">
        <v>-0.84682911286265306</v>
      </c>
      <c r="L11" s="271">
        <v>-0.78912929733355697</v>
      </c>
      <c r="M11" s="271">
        <v>6.9276387724299893E-2</v>
      </c>
      <c r="N11" s="272">
        <v>1.1078549723293647</v>
      </c>
    </row>
    <row r="12" spans="2:14">
      <c r="B12" s="263" t="str">
        <f>D6</f>
        <v>EtOH</v>
      </c>
      <c r="C12" s="266">
        <v>0</v>
      </c>
      <c r="D12" s="268">
        <v>0</v>
      </c>
      <c r="E12" s="266">
        <v>-1.2101</v>
      </c>
      <c r="F12" s="266">
        <v>-0.98519999999999996</v>
      </c>
      <c r="G12" s="266">
        <v>0</v>
      </c>
      <c r="I12" s="273"/>
      <c r="J12" s="274">
        <v>0.75624886801945335</v>
      </c>
      <c r="K12" s="274">
        <v>0</v>
      </c>
      <c r="L12" s="274">
        <v>0.62710241489183316</v>
      </c>
      <c r="M12" s="274">
        <v>2.8506188160322021E-2</v>
      </c>
      <c r="N12" s="275">
        <v>0.94325574375314447</v>
      </c>
    </row>
    <row r="13" spans="2:14">
      <c r="B13" s="263" t="str">
        <f>E6</f>
        <v>EtAc</v>
      </c>
      <c r="C13" s="266">
        <v>0</v>
      </c>
      <c r="D13" s="266">
        <v>-0.39810000000000001</v>
      </c>
      <c r="E13" s="268">
        <v>0</v>
      </c>
      <c r="F13" s="266">
        <v>-3.7198000000000002</v>
      </c>
      <c r="G13" s="266">
        <v>0</v>
      </c>
      <c r="I13" s="273"/>
      <c r="J13" s="274">
        <v>1.7300727821566326</v>
      </c>
      <c r="K13" s="274">
        <v>0.67314668790877075</v>
      </c>
      <c r="L13" s="274">
        <v>0</v>
      </c>
      <c r="M13" s="274">
        <v>0.59392899547207811</v>
      </c>
      <c r="N13" s="275">
        <v>2.1908702297501259</v>
      </c>
    </row>
    <row r="14" spans="2:14">
      <c r="B14" s="263" t="str">
        <f>F6</f>
        <v>H2O</v>
      </c>
      <c r="C14" s="266">
        <v>3.3292999999999999</v>
      </c>
      <c r="D14" s="266">
        <v>3.7555000000000001</v>
      </c>
      <c r="E14" s="266">
        <v>9.4632000000000005</v>
      </c>
      <c r="F14" s="268">
        <v>0</v>
      </c>
      <c r="G14" s="266">
        <v>0</v>
      </c>
      <c r="I14" s="273"/>
      <c r="J14" s="274">
        <v>0.90136741573033685</v>
      </c>
      <c r="K14" s="274">
        <v>1.4880795740399129</v>
      </c>
      <c r="L14" s="274">
        <v>3.7423111856448097</v>
      </c>
      <c r="M14" s="274">
        <v>0</v>
      </c>
      <c r="N14" s="275">
        <v>2.7046259667952377</v>
      </c>
    </row>
    <row r="15" spans="2:14">
      <c r="B15" s="263" t="str">
        <f>G6</f>
        <v>PropAcid</v>
      </c>
      <c r="C15" s="266">
        <v>2.4451999999999998</v>
      </c>
      <c r="D15" s="266">
        <v>0</v>
      </c>
      <c r="E15" s="266">
        <v>0</v>
      </c>
      <c r="F15" s="266">
        <v>0</v>
      </c>
      <c r="G15" s="268">
        <v>0</v>
      </c>
      <c r="I15" s="273"/>
      <c r="J15" s="274">
        <v>-0.79800308569512035</v>
      </c>
      <c r="K15" s="274">
        <v>-1.2875093073956063</v>
      </c>
      <c r="L15" s="274">
        <v>-1.061845571021298</v>
      </c>
      <c r="M15" s="274">
        <v>-0.43400652356196551</v>
      </c>
      <c r="N15" s="275">
        <v>0</v>
      </c>
    </row>
    <row r="16" spans="2:14">
      <c r="I16" s="273"/>
      <c r="J16" s="274"/>
      <c r="K16" s="274"/>
      <c r="L16" s="274"/>
      <c r="M16" s="274"/>
      <c r="N16" s="275"/>
    </row>
    <row r="17" spans="2:14">
      <c r="B17" s="263" t="s">
        <v>318</v>
      </c>
      <c r="C17" s="263" t="str">
        <f>C6</f>
        <v>HAc</v>
      </c>
      <c r="D17" s="263" t="str">
        <f>D6</f>
        <v>EtOH</v>
      </c>
      <c r="E17" s="263" t="str">
        <f>E6</f>
        <v>EtAc</v>
      </c>
      <c r="F17" s="263" t="str">
        <f>F6</f>
        <v>H2O</v>
      </c>
      <c r="G17" s="263" t="str">
        <f>G6</f>
        <v>PropAcid</v>
      </c>
      <c r="I17" s="273"/>
      <c r="J17" s="274"/>
      <c r="K17" s="274"/>
      <c r="L17" s="274"/>
      <c r="M17" s="274"/>
      <c r="N17" s="275"/>
    </row>
    <row r="18" spans="2:14">
      <c r="B18" s="263" t="str">
        <f>B11</f>
        <v>HAc</v>
      </c>
      <c r="C18" s="268">
        <v>0</v>
      </c>
      <c r="D18" s="266">
        <v>-252.4821</v>
      </c>
      <c r="E18" s="266">
        <v>-235.27889999999999</v>
      </c>
      <c r="F18" s="266">
        <v>609.8886</v>
      </c>
      <c r="G18" s="266">
        <v>1247.8933999999999</v>
      </c>
      <c r="I18" s="273" t="s">
        <v>319</v>
      </c>
      <c r="J18" s="274">
        <f t="array" ref="J18:N22">EXP(-C25:G29*J11:N15)</f>
        <v>1</v>
      </c>
      <c r="K18" s="274">
        <v>1.2892346321153865</v>
      </c>
      <c r="L18" s="274">
        <v>1.2671100917027165</v>
      </c>
      <c r="M18" s="274">
        <v>0.97943156010314358</v>
      </c>
      <c r="N18" s="275">
        <v>0.71723159016584337</v>
      </c>
    </row>
    <row r="19" spans="2:14">
      <c r="B19" s="263" t="str">
        <f>B12</f>
        <v>EtOH</v>
      </c>
      <c r="C19" s="266">
        <v>225.47559999999999</v>
      </c>
      <c r="D19" s="268">
        <v>0</v>
      </c>
      <c r="E19" s="266">
        <v>547.76189999999997</v>
      </c>
      <c r="F19" s="266">
        <v>302.23649999999998</v>
      </c>
      <c r="G19" s="266">
        <v>281.23169999999999</v>
      </c>
      <c r="I19" s="273"/>
      <c r="J19" s="274">
        <v>0.79702067427765255</v>
      </c>
      <c r="K19" s="274">
        <v>1</v>
      </c>
      <c r="L19" s="274">
        <v>0.82850639409601634</v>
      </c>
      <c r="M19" s="274">
        <v>0.99148460665980354</v>
      </c>
      <c r="N19" s="275">
        <v>0.75353732764905335</v>
      </c>
    </row>
    <row r="20" spans="2:14">
      <c r="B20" s="263" t="str">
        <f>B13</f>
        <v>EtAc</v>
      </c>
      <c r="C20" s="266">
        <v>515.82119999999998</v>
      </c>
      <c r="D20" s="266">
        <v>319.3922</v>
      </c>
      <c r="E20" s="268">
        <v>0</v>
      </c>
      <c r="F20" s="266">
        <v>1286.1383000000001</v>
      </c>
      <c r="G20" s="266">
        <v>653.20795899999996</v>
      </c>
      <c r="I20" s="273"/>
      <c r="J20" s="274">
        <v>0.59510237188547799</v>
      </c>
      <c r="K20" s="274">
        <v>0.81714068133209394</v>
      </c>
      <c r="L20" s="274">
        <v>1</v>
      </c>
      <c r="M20" s="274">
        <v>0.88799799036552363</v>
      </c>
      <c r="N20" s="275">
        <v>0.51826889508707574</v>
      </c>
    </row>
    <row r="21" spans="2:14">
      <c r="B21" s="263" t="str">
        <f>B14</f>
        <v>H2O</v>
      </c>
      <c r="C21" s="266">
        <v>-723.88810000000001</v>
      </c>
      <c r="D21" s="266">
        <v>-676.03139999999996</v>
      </c>
      <c r="E21" s="266">
        <v>-1705.683</v>
      </c>
      <c r="F21" s="268">
        <v>0</v>
      </c>
      <c r="G21" s="266">
        <v>806.384232</v>
      </c>
      <c r="I21" s="273"/>
      <c r="J21" s="274">
        <v>0.76306640142183868</v>
      </c>
      <c r="K21" s="274">
        <v>0.63991247345214641</v>
      </c>
      <c r="L21" s="274">
        <v>0.47309349927978656</v>
      </c>
      <c r="M21" s="274">
        <v>1</v>
      </c>
      <c r="N21" s="275">
        <v>0.44424112482164146</v>
      </c>
    </row>
    <row r="22" spans="2:14">
      <c r="B22" s="263" t="str">
        <f>B15</f>
        <v>PropAcid</v>
      </c>
      <c r="C22" s="266">
        <v>-966.96100000000001</v>
      </c>
      <c r="D22" s="266">
        <v>-383.87090000000001</v>
      </c>
      <c r="E22" s="266">
        <v>-316.58925699999998</v>
      </c>
      <c r="F22" s="266">
        <v>-129.399045</v>
      </c>
      <c r="G22" s="268">
        <v>0</v>
      </c>
      <c r="I22" s="273"/>
      <c r="J22" s="274">
        <v>1.2704878057111633</v>
      </c>
      <c r="K22" s="274">
        <v>1.4714565965805364</v>
      </c>
      <c r="L22" s="274">
        <v>1.3751374246253074</v>
      </c>
      <c r="M22" s="274">
        <v>1.1390584009926099</v>
      </c>
      <c r="N22" s="275">
        <v>1</v>
      </c>
    </row>
    <row r="23" spans="2:14">
      <c r="I23" s="273"/>
      <c r="J23" s="274"/>
      <c r="K23" s="274"/>
      <c r="L23" s="274"/>
      <c r="M23" s="274"/>
      <c r="N23" s="275"/>
    </row>
    <row r="24" spans="2:14">
      <c r="B24" s="264" t="s">
        <v>328</v>
      </c>
      <c r="C24" s="263" t="str">
        <f>C6</f>
        <v>HAc</v>
      </c>
      <c r="D24" s="263" t="str">
        <f>D6</f>
        <v>EtOH</v>
      </c>
      <c r="E24" s="263" t="str">
        <f>E6</f>
        <v>EtAc</v>
      </c>
      <c r="F24" s="263" t="str">
        <f>F6</f>
        <v>H2O</v>
      </c>
      <c r="G24" s="263" t="str">
        <f>G6</f>
        <v>PropAcid</v>
      </c>
      <c r="I24" s="273" t="s">
        <v>320</v>
      </c>
      <c r="J24" s="274">
        <f t="array" ref="J24:N24">MMULT(C7:G7,J11:N15*J18:N22)</f>
        <v>0.26125327997824321</v>
      </c>
      <c r="K24" s="274">
        <v>-0.29679585184009438</v>
      </c>
      <c r="L24" s="274">
        <v>-3.4015165098422784E-2</v>
      </c>
      <c r="M24" s="274">
        <v>2.5832780982558839E-2</v>
      </c>
      <c r="N24" s="275">
        <v>0.76846659417539853</v>
      </c>
    </row>
    <row r="25" spans="2:14">
      <c r="B25" s="263" t="str">
        <f>B18</f>
        <v>HAc</v>
      </c>
      <c r="C25" s="266">
        <v>0</v>
      </c>
      <c r="D25" s="268">
        <f>C26</f>
        <v>0.3</v>
      </c>
      <c r="E25" s="268">
        <f>C27</f>
        <v>0.3</v>
      </c>
      <c r="F25" s="268">
        <f>C28</f>
        <v>0.3</v>
      </c>
      <c r="G25" s="268">
        <f>C29</f>
        <v>0.3</v>
      </c>
      <c r="I25" s="273" t="s">
        <v>321</v>
      </c>
      <c r="J25" s="274">
        <f t="array" ref="J25:N25">MMULT(C7:G7,J18:N22)</f>
        <v>0.88513545065922661</v>
      </c>
      <c r="K25" s="274">
        <v>1.0435488766960328</v>
      </c>
      <c r="L25" s="274">
        <v>0.9887694819407653</v>
      </c>
      <c r="M25" s="274">
        <v>0.9995945116242162</v>
      </c>
      <c r="N25" s="275">
        <v>0.68665578754472278</v>
      </c>
    </row>
    <row r="26" spans="2:14">
      <c r="B26" s="263" t="str">
        <f>B19</f>
        <v>EtOH</v>
      </c>
      <c r="C26" s="266">
        <v>0.3</v>
      </c>
      <c r="D26" s="266">
        <v>0</v>
      </c>
      <c r="E26" s="268">
        <f>D27</f>
        <v>0.3</v>
      </c>
      <c r="F26" s="268">
        <f>D28</f>
        <v>0.3</v>
      </c>
      <c r="G26" s="268">
        <f>D29</f>
        <v>0.3</v>
      </c>
      <c r="I26" s="273" t="s">
        <v>322</v>
      </c>
      <c r="J26" s="274">
        <f>1/J25</f>
        <v>1.1297705896371286</v>
      </c>
      <c r="K26" s="274">
        <f>1/K25</f>
        <v>0.95826848395073516</v>
      </c>
      <c r="L26" s="274">
        <f>1/L25</f>
        <v>1.0113580751270674</v>
      </c>
      <c r="M26" s="274">
        <f>1/M25</f>
        <v>1.0004056528633045</v>
      </c>
      <c r="N26" s="275">
        <f>1/N25</f>
        <v>1.4563337528628473</v>
      </c>
    </row>
    <row r="27" spans="2:14">
      <c r="B27" s="263" t="str">
        <f>B20</f>
        <v>EtAc</v>
      </c>
      <c r="C27" s="266">
        <v>0.3</v>
      </c>
      <c r="D27" s="266">
        <v>0.3</v>
      </c>
      <c r="E27" s="266">
        <v>0</v>
      </c>
      <c r="F27" s="268">
        <f>E28</f>
        <v>0.2</v>
      </c>
      <c r="G27" s="268">
        <f>E29</f>
        <v>0.3</v>
      </c>
      <c r="I27" s="273" t="s">
        <v>323</v>
      </c>
      <c r="J27" s="274">
        <f>J26^2</f>
        <v>1.2763815852090252</v>
      </c>
      <c r="K27" s="274">
        <f>K26^2</f>
        <v>0.91827848733324036</v>
      </c>
      <c r="L27" s="274">
        <f>L26^2</f>
        <v>1.0228451561247269</v>
      </c>
      <c r="M27" s="274">
        <f>M26^2</f>
        <v>1.0008114702808546</v>
      </c>
      <c r="N27" s="275">
        <f>N26^2</f>
        <v>2.1209079997275846</v>
      </c>
    </row>
    <row r="28" spans="2:14">
      <c r="B28" s="263" t="str">
        <f>B21</f>
        <v>H2O</v>
      </c>
      <c r="C28" s="266">
        <v>0.3</v>
      </c>
      <c r="D28" s="266">
        <v>0.3</v>
      </c>
      <c r="E28" s="266">
        <v>0.2</v>
      </c>
      <c r="F28" s="266">
        <v>0</v>
      </c>
      <c r="G28" s="268">
        <f>F29</f>
        <v>0.3</v>
      </c>
      <c r="I28" s="273" t="s">
        <v>324</v>
      </c>
      <c r="J28" s="274">
        <f>J24:N24/J25:N25</f>
        <v>0.29515627216565365</v>
      </c>
      <c r="K28" s="274">
        <f>K24:O24/K25:O25</f>
        <v>-0.28441011098567426</v>
      </c>
      <c r="L28" s="274">
        <f>L24:P24/L25:P25</f>
        <v>-3.4401511899070272E-2</v>
      </c>
      <c r="M28" s="274">
        <f>M24:Q24/M25:Q25</f>
        <v>2.5843260124131531E-2</v>
      </c>
      <c r="N28" s="275">
        <f>N24:R24/N25:R25</f>
        <v>1.1191438390451887</v>
      </c>
    </row>
    <row r="29" spans="2:14">
      <c r="B29" s="263" t="str">
        <f>B22</f>
        <v>PropAcid</v>
      </c>
      <c r="C29" s="266">
        <v>0.3</v>
      </c>
      <c r="D29" s="266">
        <v>0.3</v>
      </c>
      <c r="E29" s="266">
        <v>0.3</v>
      </c>
      <c r="F29" s="266">
        <v>0.3</v>
      </c>
      <c r="G29" s="266">
        <v>0</v>
      </c>
      <c r="I29" s="273"/>
      <c r="J29" s="274"/>
      <c r="K29" s="274"/>
      <c r="L29" s="274"/>
      <c r="M29" s="274"/>
      <c r="N29" s="275"/>
    </row>
    <row r="30" spans="2:14">
      <c r="I30" s="273" t="s">
        <v>28</v>
      </c>
      <c r="J30" s="274">
        <f t="shared" ref="J30:N34" si="0">C$7</f>
        <v>0.2</v>
      </c>
      <c r="K30" s="274">
        <f t="shared" si="0"/>
        <v>0.2</v>
      </c>
      <c r="L30" s="274">
        <f t="shared" si="0"/>
        <v>0.2</v>
      </c>
      <c r="M30" s="274">
        <f t="shared" si="0"/>
        <v>0.2</v>
      </c>
      <c r="N30" s="275">
        <f t="shared" si="0"/>
        <v>0.2</v>
      </c>
    </row>
    <row r="31" spans="2:14">
      <c r="I31" s="273"/>
      <c r="J31" s="274">
        <f t="shared" si="0"/>
        <v>0.2</v>
      </c>
      <c r="K31" s="274">
        <f t="shared" si="0"/>
        <v>0.2</v>
      </c>
      <c r="L31" s="274">
        <f t="shared" si="0"/>
        <v>0.2</v>
      </c>
      <c r="M31" s="274">
        <f t="shared" si="0"/>
        <v>0.2</v>
      </c>
      <c r="N31" s="275">
        <f t="shared" si="0"/>
        <v>0.2</v>
      </c>
    </row>
    <row r="32" spans="2:14">
      <c r="I32" s="273"/>
      <c r="J32" s="274">
        <f t="shared" si="0"/>
        <v>0.2</v>
      </c>
      <c r="K32" s="274">
        <f t="shared" si="0"/>
        <v>0.2</v>
      </c>
      <c r="L32" s="274">
        <f t="shared" si="0"/>
        <v>0.2</v>
      </c>
      <c r="M32" s="274">
        <f t="shared" si="0"/>
        <v>0.2</v>
      </c>
      <c r="N32" s="275">
        <f t="shared" si="0"/>
        <v>0.2</v>
      </c>
    </row>
    <row r="33" spans="9:14">
      <c r="I33" s="273"/>
      <c r="J33" s="274">
        <f t="shared" si="0"/>
        <v>0.2</v>
      </c>
      <c r="K33" s="274">
        <f t="shared" si="0"/>
        <v>0.2</v>
      </c>
      <c r="L33" s="274">
        <f t="shared" si="0"/>
        <v>0.2</v>
      </c>
      <c r="M33" s="274">
        <f t="shared" si="0"/>
        <v>0.2</v>
      </c>
      <c r="N33" s="275">
        <f t="shared" si="0"/>
        <v>0.2</v>
      </c>
    </row>
    <row r="34" spans="9:14">
      <c r="I34" s="273"/>
      <c r="J34" s="274">
        <f t="shared" si="0"/>
        <v>0.2</v>
      </c>
      <c r="K34" s="274">
        <f t="shared" si="0"/>
        <v>0.2</v>
      </c>
      <c r="L34" s="274">
        <f t="shared" si="0"/>
        <v>0.2</v>
      </c>
      <c r="M34" s="274">
        <f t="shared" si="0"/>
        <v>0.2</v>
      </c>
      <c r="N34" s="275">
        <f t="shared" si="0"/>
        <v>0.2</v>
      </c>
    </row>
    <row r="35" spans="9:14">
      <c r="I35" s="273"/>
      <c r="J35" s="274"/>
      <c r="K35" s="274"/>
      <c r="L35" s="274"/>
      <c r="M35" s="274"/>
      <c r="N35" s="275"/>
    </row>
    <row r="36" spans="9:14">
      <c r="I36" s="273" t="s">
        <v>325</v>
      </c>
      <c r="J36" s="274">
        <f t="array" ref="J36:N36">MMULT(J26:N26,TRANSPOSE(J30:N34*J11:N15*J18:N22))</f>
        <v>-0.16648123467116158</v>
      </c>
      <c r="K36" s="274">
        <v>0.4539659464826083</v>
      </c>
      <c r="L36" s="274">
        <v>0.77430190681466793</v>
      </c>
      <c r="M36" s="274">
        <v>1.0459856115212398</v>
      </c>
      <c r="N36" s="275">
        <v>-0.98644048169712484</v>
      </c>
    </row>
    <row r="37" spans="9:14">
      <c r="I37" s="273" t="s">
        <v>326</v>
      </c>
      <c r="J37" s="274">
        <f t="array" ref="J37:N37">MMULT(J24:N24*J27:N27,TRANSPOSE(J30:N34*J18:N22))</f>
        <v>0.22646066912483151</v>
      </c>
      <c r="K37" s="274">
        <v>0.24363817495405529</v>
      </c>
      <c r="L37" s="274">
        <v>0.16172048606893294</v>
      </c>
      <c r="M37" s="274">
        <v>0.16269750405327277</v>
      </c>
      <c r="N37" s="275">
        <v>0.32681491424913706</v>
      </c>
    </row>
    <row r="38" spans="9:14">
      <c r="I38" s="276" t="s">
        <v>327</v>
      </c>
      <c r="J38" s="277">
        <f>J28+J36-J37</f>
        <v>-9.7785631630339431E-2</v>
      </c>
      <c r="K38" s="277">
        <f>K28+K36-K37</f>
        <v>-7.4082339457121255E-2</v>
      </c>
      <c r="L38" s="277">
        <f>L28+L36-L37</f>
        <v>0.5781799088466647</v>
      </c>
      <c r="M38" s="277">
        <f>M28+M36-M37</f>
        <v>0.90913136759209867</v>
      </c>
      <c r="N38" s="278">
        <f>N28+N36-N37</f>
        <v>-0.19411155690107323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P31"/>
  <sheetViews>
    <sheetView showGridLines="0" zoomScale="150" zoomScaleNormal="150" zoomScalePageLayoutView="150" workbookViewId="0">
      <selection activeCell="D7" sqref="D7"/>
    </sheetView>
  </sheetViews>
  <sheetFormatPr baseColWidth="10" defaultColWidth="9.1640625" defaultRowHeight="13"/>
  <cols>
    <col min="1" max="1" width="9.83203125" style="5" customWidth="1"/>
    <col min="2" max="16384" width="9.1640625" style="5"/>
  </cols>
  <sheetData>
    <row r="1" spans="1:16">
      <c r="A1" s="5" t="s">
        <v>39</v>
      </c>
      <c r="D1" s="5" t="s">
        <v>40</v>
      </c>
    </row>
    <row r="2" spans="1:16">
      <c r="D2" s="5" t="s">
        <v>41</v>
      </c>
    </row>
    <row r="3" spans="1:16">
      <c r="D3" s="5" t="s">
        <v>248</v>
      </c>
    </row>
    <row r="4" spans="1:16">
      <c r="D4" s="5" t="s">
        <v>42</v>
      </c>
    </row>
    <row r="5" spans="1:16">
      <c r="A5" s="23"/>
      <c r="B5" s="24" t="s">
        <v>43</v>
      </c>
      <c r="C5" s="24" t="s">
        <v>44</v>
      </c>
      <c r="D5" s="24" t="s">
        <v>45</v>
      </c>
      <c r="E5" s="24" t="s">
        <v>46</v>
      </c>
      <c r="F5" s="25" t="s">
        <v>47</v>
      </c>
      <c r="H5" s="24" t="s">
        <v>48</v>
      </c>
      <c r="I5" s="24" t="s">
        <v>49</v>
      </c>
    </row>
    <row r="6" spans="1:16">
      <c r="A6" s="26" t="s">
        <v>344</v>
      </c>
      <c r="B6" s="27">
        <v>0.92</v>
      </c>
      <c r="C6" s="27">
        <v>1.4</v>
      </c>
      <c r="D6" s="27">
        <f>_q1</f>
        <v>1.4</v>
      </c>
      <c r="E6" s="24">
        <f>5*(_r1-_q1)-(_r1-1)</f>
        <v>-2.3199999999999994</v>
      </c>
      <c r="F6" s="24">
        <f>_l1-_r1*_l2/_r2</f>
        <v>-2.2099818344160838</v>
      </c>
      <c r="H6" s="27">
        <v>-2.0882000000000001</v>
      </c>
      <c r="I6" s="27">
        <v>345.53</v>
      </c>
    </row>
    <row r="7" spans="1:16">
      <c r="A7" s="26" t="s">
        <v>345</v>
      </c>
      <c r="B7" s="27">
        <v>3.2479</v>
      </c>
      <c r="C7" s="27">
        <v>2.8759999999999999</v>
      </c>
      <c r="D7" s="27">
        <f>_q2</f>
        <v>2.8759999999999999</v>
      </c>
      <c r="E7" s="24">
        <f>5*(_r2-_q2)-(_r2-1)</f>
        <v>-0.38839999999999941</v>
      </c>
      <c r="F7" s="24">
        <f>_l2-_r2*_l1/_r1</f>
        <v>7.8019565217391289</v>
      </c>
    </row>
    <row r="8" spans="1:16">
      <c r="B8" s="23" t="s">
        <v>27</v>
      </c>
      <c r="C8" s="28"/>
      <c r="D8" s="17">
        <v>0.05</v>
      </c>
    </row>
    <row r="10" spans="1:16" ht="15">
      <c r="A10" s="4" t="s">
        <v>50</v>
      </c>
      <c r="B10" s="29" t="s">
        <v>51</v>
      </c>
      <c r="C10" s="29" t="s">
        <v>52</v>
      </c>
      <c r="D10" s="4" t="s">
        <v>38</v>
      </c>
      <c r="E10" s="4" t="s">
        <v>53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59</v>
      </c>
      <c r="L10" s="4" t="s">
        <v>60</v>
      </c>
      <c r="M10" s="4" t="s">
        <v>61</v>
      </c>
      <c r="N10" s="4" t="s">
        <v>62</v>
      </c>
      <c r="O10" s="4" t="s">
        <v>63</v>
      </c>
      <c r="P10" s="4" t="s">
        <v>64</v>
      </c>
    </row>
    <row r="11" spans="1:16">
      <c r="A11" s="30">
        <v>0</v>
      </c>
      <c r="B11" s="5">
        <f t="shared" ref="B11:B31" si="0">1-A11</f>
        <v>1</v>
      </c>
      <c r="C11" s="31">
        <v>90</v>
      </c>
      <c r="D11" s="5">
        <f>C11+273.15</f>
        <v>363.15</v>
      </c>
      <c r="E11" s="5">
        <f t="shared" ref="E11:E31" si="1">EXP(-A12../_T)</f>
        <v>1.0057668053172291</v>
      </c>
      <c r="F11" s="5">
        <f t="shared" ref="F11:F31" si="2">EXP(-A21../_T)</f>
        <v>0.38616902968096672</v>
      </c>
      <c r="G11" s="5">
        <f t="shared" ref="G11:G31" si="3">_x1*_q1/(_x1*_q1+_x2*_q2)</f>
        <v>0</v>
      </c>
      <c r="H11" s="5">
        <f t="shared" ref="H11:H31" si="4">_x2*_q2/(_x1*_q1+_x2*_q2)</f>
        <v>1</v>
      </c>
      <c r="I11" s="5">
        <f t="shared" ref="I11:I31" si="5">_x1*_qp1/(_x1*_qp1+_x2*_qp2)</f>
        <v>0</v>
      </c>
      <c r="J11" s="5">
        <f t="shared" ref="J11:J31" si="6">_x2*_qp2/(_x1*_qp1+_x2*_qp2)</f>
        <v>1</v>
      </c>
      <c r="K11" s="5">
        <f t="shared" ref="K11:K31" si="7">_x1*_r1/(_x1*_r1+_x2*_r2)</f>
        <v>0</v>
      </c>
      <c r="L11" s="5">
        <f t="shared" ref="L11:L31" si="8">_x2*_r2/(_x1*_r1+_x2*_r2)</f>
        <v>1</v>
      </c>
      <c r="M11" s="5">
        <f>LN(_r1/_r2)+5*_q1*LN(_r2*_q1/_r1/_q2)+_lf1-_qp1*LN(_tau21)+_qp1*(1-_tau12)</f>
        <v>1.6428608174956849</v>
      </c>
      <c r="N11" s="5">
        <f t="shared" ref="N11:N26" si="9">LN(_phi2/_x2)+5*_q2*LN(theta2/_phi2)+_phi1*(_lf2)-_qp2*LN(thetap2+thetap1*_tau12)+thetap1*_qp2*(_tau12/(thetap2+thetap1*_tau12)-_tau21/(thetap1+thetap2*_tau21))</f>
        <v>0</v>
      </c>
      <c r="O11" s="5">
        <f t="shared" ref="O11:P31" si="10">EXP(M11)</f>
        <v>5.1699386271668244</v>
      </c>
      <c r="P11" s="5">
        <f t="shared" si="10"/>
        <v>1</v>
      </c>
    </row>
    <row r="12" spans="1:16">
      <c r="A12" s="30">
        <f t="shared" ref="A12:A30" si="11">A11+$D$8</f>
        <v>0.05</v>
      </c>
      <c r="B12" s="5">
        <f t="shared" si="0"/>
        <v>0.95</v>
      </c>
      <c r="C12" s="31">
        <v>90</v>
      </c>
      <c r="D12" s="5">
        <f t="shared" ref="D12:D27" si="12">C12+273.15</f>
        <v>363.15</v>
      </c>
      <c r="E12" s="5">
        <f t="shared" si="1"/>
        <v>1.0057668053172291</v>
      </c>
      <c r="F12" s="5">
        <f t="shared" si="2"/>
        <v>0.38616902968096672</v>
      </c>
      <c r="G12" s="5">
        <f t="shared" si="3"/>
        <v>2.4980372564413676E-2</v>
      </c>
      <c r="H12" s="5">
        <f t="shared" si="4"/>
        <v>0.97501962743558634</v>
      </c>
      <c r="I12" s="5">
        <f t="shared" si="5"/>
        <v>2.4980372564413676E-2</v>
      </c>
      <c r="J12" s="5">
        <f t="shared" si="6"/>
        <v>0.97501962743558634</v>
      </c>
      <c r="K12" s="5">
        <f t="shared" si="7"/>
        <v>1.4689422498127901E-2</v>
      </c>
      <c r="L12" s="5">
        <f t="shared" si="8"/>
        <v>0.98531057750187212</v>
      </c>
      <c r="M12" s="5">
        <f t="shared" ref="M12:M27" si="13">LN(_phi1/_x1)+5*_q1*LN(theta1/_phi1)+_phi2*(_lf1)-_qp1*LN(thetap1+thetap2*_tau21)+thetap2*_qp1*(_tau21/(thetap1+thetap2*_tau21)-_tau12/(thetap2+thetap1*_tau12))</f>
        <v>1.5320769810697639</v>
      </c>
      <c r="N12" s="5">
        <f t="shared" si="9"/>
        <v>2.8546450485527541E-3</v>
      </c>
      <c r="O12" s="5">
        <f t="shared" si="10"/>
        <v>4.6277786560982976</v>
      </c>
      <c r="P12" s="5">
        <f t="shared" si="10"/>
        <v>1.0028587234275808</v>
      </c>
    </row>
    <row r="13" spans="1:16">
      <c r="A13" s="30">
        <f t="shared" si="11"/>
        <v>0.1</v>
      </c>
      <c r="B13" s="5">
        <f t="shared" si="0"/>
        <v>0.9</v>
      </c>
      <c r="C13" s="31">
        <v>90</v>
      </c>
      <c r="D13" s="5">
        <f t="shared" si="12"/>
        <v>363.15</v>
      </c>
      <c r="E13" s="5">
        <f t="shared" si="1"/>
        <v>1.0057668053172291</v>
      </c>
      <c r="F13" s="5">
        <f t="shared" si="2"/>
        <v>0.38616902968096672</v>
      </c>
      <c r="G13" s="5">
        <f t="shared" si="3"/>
        <v>5.1312124321946921E-2</v>
      </c>
      <c r="H13" s="5">
        <f t="shared" si="4"/>
        <v>0.94868787567805302</v>
      </c>
      <c r="I13" s="5">
        <f t="shared" si="5"/>
        <v>5.1312124321946921E-2</v>
      </c>
      <c r="J13" s="5">
        <f t="shared" si="6"/>
        <v>0.94868787567805302</v>
      </c>
      <c r="K13" s="5">
        <f t="shared" si="7"/>
        <v>3.0512982942579214E-2</v>
      </c>
      <c r="L13" s="5">
        <f t="shared" si="8"/>
        <v>0.9694870170574208</v>
      </c>
      <c r="M13" s="5">
        <f t="shared" si="13"/>
        <v>1.4237361456027007</v>
      </c>
      <c r="N13" s="5">
        <f t="shared" si="9"/>
        <v>1.1655844819166764E-2</v>
      </c>
      <c r="O13" s="5">
        <f t="shared" si="10"/>
        <v>4.1526062351708095</v>
      </c>
      <c r="P13" s="5">
        <f t="shared" si="10"/>
        <v>1.0117240388739435</v>
      </c>
    </row>
    <row r="14" spans="1:16">
      <c r="A14" s="30">
        <f t="shared" si="11"/>
        <v>0.15000000000000002</v>
      </c>
      <c r="B14" s="5">
        <f t="shared" si="0"/>
        <v>0.85</v>
      </c>
      <c r="C14" s="31">
        <v>90</v>
      </c>
      <c r="D14" s="5">
        <f t="shared" si="12"/>
        <v>363.15</v>
      </c>
      <c r="E14" s="5">
        <f t="shared" si="1"/>
        <v>1.0057668053172291</v>
      </c>
      <c r="F14" s="5">
        <f t="shared" si="2"/>
        <v>0.38616902968096672</v>
      </c>
      <c r="G14" s="5">
        <f t="shared" si="3"/>
        <v>7.910796353499587E-2</v>
      </c>
      <c r="H14" s="5">
        <f t="shared" si="4"/>
        <v>0.92089203646500417</v>
      </c>
      <c r="I14" s="5">
        <f t="shared" si="5"/>
        <v>7.910796353499587E-2</v>
      </c>
      <c r="J14" s="5">
        <f t="shared" si="6"/>
        <v>0.92089203646500417</v>
      </c>
      <c r="K14" s="5">
        <f t="shared" si="7"/>
        <v>4.7607301856167322E-2</v>
      </c>
      <c r="L14" s="5">
        <f t="shared" si="8"/>
        <v>0.95239269814383276</v>
      </c>
      <c r="M14" s="5">
        <f t="shared" si="13"/>
        <v>1.3177687704704288</v>
      </c>
      <c r="N14" s="5">
        <f t="shared" si="9"/>
        <v>2.6814260804274549E-2</v>
      </c>
      <c r="O14" s="5">
        <f t="shared" si="10"/>
        <v>3.7350782561126996</v>
      </c>
      <c r="P14" s="5">
        <f t="shared" si="10"/>
        <v>1.0271769980145988</v>
      </c>
    </row>
    <row r="15" spans="1:16">
      <c r="A15" s="30">
        <f t="shared" si="11"/>
        <v>0.2</v>
      </c>
      <c r="B15" s="5">
        <f t="shared" si="0"/>
        <v>0.8</v>
      </c>
      <c r="C15" s="31">
        <v>90</v>
      </c>
      <c r="D15" s="5">
        <f t="shared" si="12"/>
        <v>363.15</v>
      </c>
      <c r="E15" s="5">
        <f t="shared" si="1"/>
        <v>1.0057668053172291</v>
      </c>
      <c r="F15" s="5">
        <f t="shared" si="2"/>
        <v>0.38616902968096672</v>
      </c>
      <c r="G15" s="5">
        <f t="shared" si="3"/>
        <v>0.10849349039057656</v>
      </c>
      <c r="H15" s="5">
        <f t="shared" si="4"/>
        <v>0.89150650960942346</v>
      </c>
      <c r="I15" s="5">
        <f t="shared" si="5"/>
        <v>0.10849349039057656</v>
      </c>
      <c r="J15" s="5">
        <f t="shared" si="6"/>
        <v>0.89150650960942346</v>
      </c>
      <c r="K15" s="5">
        <f t="shared" si="7"/>
        <v>6.6131861180597482E-2</v>
      </c>
      <c r="L15" s="5">
        <f t="shared" si="8"/>
        <v>0.93386813881940245</v>
      </c>
      <c r="M15" s="5">
        <f t="shared" si="13"/>
        <v>1.2141157889651688</v>
      </c>
      <c r="N15" s="5">
        <f t="shared" si="9"/>
        <v>4.8825718241090929E-2</v>
      </c>
      <c r="O15" s="5">
        <f t="shared" si="10"/>
        <v>3.3673153302281573</v>
      </c>
      <c r="P15" s="5">
        <f t="shared" si="10"/>
        <v>1.0500373324388981</v>
      </c>
    </row>
    <row r="16" spans="1:16">
      <c r="A16" s="30">
        <f t="shared" si="11"/>
        <v>0.25</v>
      </c>
      <c r="B16" s="5">
        <f t="shared" si="0"/>
        <v>0.75</v>
      </c>
      <c r="C16" s="31">
        <v>90</v>
      </c>
      <c r="D16" s="5">
        <f t="shared" si="12"/>
        <v>363.15</v>
      </c>
      <c r="E16" s="5">
        <f t="shared" si="1"/>
        <v>1.0057668053172291</v>
      </c>
      <c r="F16" s="5">
        <f t="shared" si="2"/>
        <v>0.38616902968096672</v>
      </c>
      <c r="G16" s="5">
        <f t="shared" si="3"/>
        <v>0.13960909453530115</v>
      </c>
      <c r="H16" s="5">
        <f t="shared" si="4"/>
        <v>0.86039090546469876</v>
      </c>
      <c r="I16" s="5">
        <f t="shared" si="5"/>
        <v>0.13960909453530115</v>
      </c>
      <c r="J16" s="5">
        <f t="shared" si="6"/>
        <v>0.86039090546469876</v>
      </c>
      <c r="K16" s="5">
        <f t="shared" si="7"/>
        <v>8.6273994954846819E-2</v>
      </c>
      <c r="L16" s="5">
        <f t="shared" si="8"/>
        <v>0.91372600504515322</v>
      </c>
      <c r="M16" s="5">
        <f t="shared" si="13"/>
        <v>1.1127303482326241</v>
      </c>
      <c r="N16" s="5">
        <f t="shared" si="9"/>
        <v>7.8289998150867762E-2</v>
      </c>
      <c r="O16" s="5">
        <f t="shared" si="10"/>
        <v>3.0426545700854715</v>
      </c>
      <c r="P16" s="5">
        <f t="shared" si="10"/>
        <v>1.0814362277069816</v>
      </c>
    </row>
    <row r="17" spans="1:16">
      <c r="A17" s="30">
        <f t="shared" si="11"/>
        <v>0.3</v>
      </c>
      <c r="B17" s="5">
        <f t="shared" si="0"/>
        <v>0.7</v>
      </c>
      <c r="C17" s="31">
        <v>90</v>
      </c>
      <c r="D17" s="5">
        <f t="shared" si="12"/>
        <v>363.15</v>
      </c>
      <c r="E17" s="5">
        <f t="shared" si="1"/>
        <v>1.0057668053172291</v>
      </c>
      <c r="F17" s="5">
        <f t="shared" si="2"/>
        <v>0.38616902968096672</v>
      </c>
      <c r="G17" s="5">
        <f t="shared" si="3"/>
        <v>0.17261219792865362</v>
      </c>
      <c r="H17" s="5">
        <f t="shared" si="4"/>
        <v>0.82738780207134643</v>
      </c>
      <c r="I17" s="5">
        <f t="shared" si="5"/>
        <v>0.17261219792865362</v>
      </c>
      <c r="J17" s="5">
        <f t="shared" si="6"/>
        <v>0.82738780207134643</v>
      </c>
      <c r="K17" s="5">
        <f t="shared" si="7"/>
        <v>0.10825524704553389</v>
      </c>
      <c r="L17" s="5">
        <f t="shared" si="8"/>
        <v>0.8917447529544662</v>
      </c>
      <c r="M17" s="5">
        <f t="shared" si="13"/>
        <v>1.0135803066123066</v>
      </c>
      <c r="N17" s="5">
        <f t="shared" si="9"/>
        <v>0.11593523029565149</v>
      </c>
      <c r="O17" s="5">
        <f t="shared" si="10"/>
        <v>2.7554487268802035</v>
      </c>
      <c r="P17" s="5">
        <f t="shared" si="10"/>
        <v>1.1229231383781295</v>
      </c>
    </row>
    <row r="18" spans="1:16">
      <c r="A18" s="30">
        <f t="shared" si="11"/>
        <v>0.35</v>
      </c>
      <c r="B18" s="5">
        <f t="shared" si="0"/>
        <v>0.65</v>
      </c>
      <c r="C18" s="31">
        <v>90</v>
      </c>
      <c r="D18" s="5">
        <f t="shared" si="12"/>
        <v>363.15</v>
      </c>
      <c r="E18" s="5">
        <f t="shared" si="1"/>
        <v>1.0057668053172291</v>
      </c>
      <c r="F18" s="5">
        <f t="shared" si="2"/>
        <v>0.38616902968096672</v>
      </c>
      <c r="G18" s="5">
        <f t="shared" si="3"/>
        <v>0.20767991862337881</v>
      </c>
      <c r="H18" s="5">
        <f t="shared" si="4"/>
        <v>0.79232008137662113</v>
      </c>
      <c r="I18" s="5">
        <f t="shared" si="5"/>
        <v>0.20767991862337881</v>
      </c>
      <c r="J18" s="5">
        <f t="shared" si="6"/>
        <v>0.79232008137662113</v>
      </c>
      <c r="K18" s="5">
        <f t="shared" si="7"/>
        <v>0.13233955370334979</v>
      </c>
      <c r="L18" s="5">
        <f t="shared" si="8"/>
        <v>0.86766044629665018</v>
      </c>
      <c r="M18" s="5">
        <f t="shared" si="13"/>
        <v>0.91665179798526564</v>
      </c>
      <c r="N18" s="5">
        <f t="shared" si="9"/>
        <v>0.16264989424073581</v>
      </c>
      <c r="O18" s="5">
        <f t="shared" si="10"/>
        <v>2.5009028282583121</v>
      </c>
      <c r="P18" s="5">
        <f t="shared" si="10"/>
        <v>1.1766246744931967</v>
      </c>
    </row>
    <row r="19" spans="1:16">
      <c r="A19" s="30">
        <f t="shared" si="11"/>
        <v>0.39999999999999997</v>
      </c>
      <c r="B19" s="5">
        <f t="shared" si="0"/>
        <v>0.60000000000000009</v>
      </c>
      <c r="C19" s="31">
        <v>90</v>
      </c>
      <c r="D19" s="5">
        <f t="shared" si="12"/>
        <v>363.15</v>
      </c>
      <c r="E19" s="5">
        <f t="shared" si="1"/>
        <v>1.0057668053172291</v>
      </c>
      <c r="F19" s="5">
        <f t="shared" si="2"/>
        <v>0.38616902968096672</v>
      </c>
      <c r="G19" s="5">
        <f t="shared" si="3"/>
        <v>0.2450122506125306</v>
      </c>
      <c r="H19" s="5">
        <f t="shared" si="4"/>
        <v>0.75498774938746949</v>
      </c>
      <c r="I19" s="5">
        <f t="shared" si="5"/>
        <v>0.2450122506125306</v>
      </c>
      <c r="J19" s="5">
        <f t="shared" si="6"/>
        <v>0.75498774938746949</v>
      </c>
      <c r="K19" s="5">
        <f t="shared" si="7"/>
        <v>0.15884389271130983</v>
      </c>
      <c r="L19" s="5">
        <f t="shared" si="8"/>
        <v>0.84115610728869017</v>
      </c>
      <c r="M19" s="5">
        <f t="shared" si="13"/>
        <v>0.82195432288179804</v>
      </c>
      <c r="N19" s="5">
        <f t="shared" si="9"/>
        <v>0.21952529813274069</v>
      </c>
      <c r="O19" s="5">
        <f t="shared" si="10"/>
        <v>2.2749414660924896</v>
      </c>
      <c r="P19" s="5">
        <f t="shared" si="10"/>
        <v>1.2454853560110355</v>
      </c>
    </row>
    <row r="20" spans="1:16">
      <c r="A20" s="30">
        <f t="shared" si="11"/>
        <v>0.44999999999999996</v>
      </c>
      <c r="B20" s="5">
        <f t="shared" si="0"/>
        <v>0.55000000000000004</v>
      </c>
      <c r="C20" s="31">
        <v>90</v>
      </c>
      <c r="D20" s="5">
        <f t="shared" si="12"/>
        <v>363.15</v>
      </c>
      <c r="E20" s="5">
        <f t="shared" si="1"/>
        <v>1.0057668053172291</v>
      </c>
      <c r="F20" s="5">
        <f t="shared" si="2"/>
        <v>0.38616902968096672</v>
      </c>
      <c r="G20" s="5">
        <f t="shared" si="3"/>
        <v>0.28483588027850609</v>
      </c>
      <c r="H20" s="5">
        <f t="shared" si="4"/>
        <v>0.71516411972149374</v>
      </c>
      <c r="I20" s="5">
        <f t="shared" si="5"/>
        <v>0.28483588027850609</v>
      </c>
      <c r="J20" s="5">
        <f t="shared" si="6"/>
        <v>0.71516411972149374</v>
      </c>
      <c r="K20" s="5">
        <f t="shared" si="7"/>
        <v>0.18815231247827044</v>
      </c>
      <c r="L20" s="5">
        <f t="shared" si="8"/>
        <v>0.81184768752172953</v>
      </c>
      <c r="M20" s="5">
        <f t="shared" si="13"/>
        <v>0.7295280588723887</v>
      </c>
      <c r="N20" s="5">
        <f t="shared" si="9"/>
        <v>0.28791270278819864</v>
      </c>
      <c r="O20" s="5">
        <f t="shared" si="10"/>
        <v>2.0741015228456239</v>
      </c>
      <c r="P20" s="5">
        <f t="shared" si="10"/>
        <v>1.3336408759115179</v>
      </c>
    </row>
    <row r="21" spans="1:16">
      <c r="A21" s="30">
        <f t="shared" si="11"/>
        <v>0.49999999999999994</v>
      </c>
      <c r="B21" s="5">
        <f t="shared" si="0"/>
        <v>0.5</v>
      </c>
      <c r="C21" s="31">
        <v>90</v>
      </c>
      <c r="D21" s="5">
        <f t="shared" si="12"/>
        <v>363.15</v>
      </c>
      <c r="E21" s="5">
        <f t="shared" si="1"/>
        <v>1.0057668053172291</v>
      </c>
      <c r="F21" s="5">
        <f t="shared" si="2"/>
        <v>0.38616902968096672</v>
      </c>
      <c r="G21" s="5">
        <f t="shared" si="3"/>
        <v>0.32740879326473332</v>
      </c>
      <c r="H21" s="5">
        <f t="shared" si="4"/>
        <v>0.67259120673526662</v>
      </c>
      <c r="I21" s="5">
        <f t="shared" si="5"/>
        <v>0.32740879326473332</v>
      </c>
      <c r="J21" s="5">
        <f t="shared" si="6"/>
        <v>0.67259120673526662</v>
      </c>
      <c r="K21" s="5">
        <f t="shared" si="7"/>
        <v>0.22073466253988822</v>
      </c>
      <c r="L21" s="5">
        <f t="shared" si="8"/>
        <v>0.77926533746011195</v>
      </c>
      <c r="M21" s="5">
        <f t="shared" si="13"/>
        <v>0.63945445013290381</v>
      </c>
      <c r="N21" s="5">
        <f t="shared" si="9"/>
        <v>0.36950124854237015</v>
      </c>
      <c r="O21" s="5">
        <f t="shared" si="10"/>
        <v>1.8954465365817175</v>
      </c>
      <c r="P21" s="5">
        <f t="shared" si="10"/>
        <v>1.4470127349482442</v>
      </c>
    </row>
    <row r="22" spans="1:16">
      <c r="A22" s="30">
        <f t="shared" si="11"/>
        <v>0.54999999999999993</v>
      </c>
      <c r="B22" s="5">
        <f t="shared" si="0"/>
        <v>0.45000000000000007</v>
      </c>
      <c r="C22" s="31">
        <v>90</v>
      </c>
      <c r="D22" s="5">
        <f t="shared" si="12"/>
        <v>363.15</v>
      </c>
      <c r="E22" s="5">
        <f t="shared" si="1"/>
        <v>1.0057668053172291</v>
      </c>
      <c r="F22" s="5">
        <f t="shared" si="2"/>
        <v>0.38616902968096672</v>
      </c>
      <c r="G22" s="5">
        <f t="shared" si="3"/>
        <v>0.37302586958628037</v>
      </c>
      <c r="H22" s="5">
        <f t="shared" si="4"/>
        <v>0.62697413041371974</v>
      </c>
      <c r="I22" s="5">
        <f t="shared" si="5"/>
        <v>0.37302586958628037</v>
      </c>
      <c r="J22" s="5">
        <f t="shared" si="6"/>
        <v>0.62697413041371974</v>
      </c>
      <c r="K22" s="5">
        <f t="shared" si="7"/>
        <v>0.25717197232097705</v>
      </c>
      <c r="L22" s="5">
        <f t="shared" si="8"/>
        <v>0.74282802767902301</v>
      </c>
      <c r="M22" s="5">
        <f t="shared" si="13"/>
        <v>0.55187172729919787</v>
      </c>
      <c r="N22" s="5">
        <f t="shared" si="9"/>
        <v>0.46642595488606653</v>
      </c>
      <c r="O22" s="5">
        <f t="shared" si="10"/>
        <v>1.7365002328598143</v>
      </c>
      <c r="P22" s="5">
        <f t="shared" si="10"/>
        <v>1.5942859486269427</v>
      </c>
    </row>
    <row r="23" spans="1:16">
      <c r="A23" s="30">
        <f t="shared" si="11"/>
        <v>0.6</v>
      </c>
      <c r="B23" s="5">
        <f t="shared" si="0"/>
        <v>0.4</v>
      </c>
      <c r="C23" s="31">
        <v>90</v>
      </c>
      <c r="D23" s="5">
        <f t="shared" si="12"/>
        <v>363.15</v>
      </c>
      <c r="E23" s="5">
        <f t="shared" si="1"/>
        <v>1.0057668053172291</v>
      </c>
      <c r="F23" s="5">
        <f t="shared" si="2"/>
        <v>0.38616902968096672</v>
      </c>
      <c r="G23" s="5">
        <f t="shared" si="3"/>
        <v>0.42202572347266876</v>
      </c>
      <c r="H23" s="5">
        <f t="shared" si="4"/>
        <v>0.57797427652733113</v>
      </c>
      <c r="I23" s="5">
        <f t="shared" si="5"/>
        <v>0.42202572347266876</v>
      </c>
      <c r="J23" s="5">
        <f t="shared" si="6"/>
        <v>0.57797427652733113</v>
      </c>
      <c r="K23" s="5">
        <f t="shared" si="7"/>
        <v>0.29819140430864971</v>
      </c>
      <c r="L23" s="5">
        <f t="shared" si="8"/>
        <v>0.70180859569135023</v>
      </c>
      <c r="M23" s="5">
        <f t="shared" si="13"/>
        <v>0.46699798085500455</v>
      </c>
      <c r="N23" s="5">
        <f t="shared" si="9"/>
        <v>0.58142004063134034</v>
      </c>
      <c r="O23" s="5">
        <f t="shared" si="10"/>
        <v>1.5951981824773218</v>
      </c>
      <c r="P23" s="5">
        <f t="shared" si="10"/>
        <v>1.788576479530569</v>
      </c>
    </row>
    <row r="24" spans="1:16">
      <c r="A24" s="30">
        <f t="shared" si="11"/>
        <v>0.65</v>
      </c>
      <c r="B24" s="5">
        <f t="shared" si="0"/>
        <v>0.35</v>
      </c>
      <c r="C24" s="31">
        <v>90</v>
      </c>
      <c r="D24" s="5">
        <f t="shared" si="12"/>
        <v>363.15</v>
      </c>
      <c r="E24" s="5">
        <f t="shared" si="1"/>
        <v>1.0057668053172291</v>
      </c>
      <c r="F24" s="5">
        <f t="shared" si="2"/>
        <v>0.38616902968096672</v>
      </c>
      <c r="G24" s="5">
        <f t="shared" si="3"/>
        <v>0.47479912344777209</v>
      </c>
      <c r="H24" s="5">
        <f t="shared" si="4"/>
        <v>0.52520087655222791</v>
      </c>
      <c r="I24" s="5">
        <f t="shared" si="5"/>
        <v>0.47479912344777209</v>
      </c>
      <c r="J24" s="5">
        <f t="shared" si="6"/>
        <v>0.52520087655222791</v>
      </c>
      <c r="K24" s="5">
        <f t="shared" si="7"/>
        <v>0.34471527843828992</v>
      </c>
      <c r="L24" s="5">
        <f t="shared" si="8"/>
        <v>0.65528472156171003</v>
      </c>
      <c r="M24" s="5">
        <f t="shared" si="13"/>
        <v>0.38516604814141081</v>
      </c>
      <c r="N24" s="5">
        <f t="shared" si="9"/>
        <v>0.71803396985335333</v>
      </c>
      <c r="O24" s="5">
        <f t="shared" si="10"/>
        <v>1.4698583684290238</v>
      </c>
      <c r="P24" s="5">
        <f t="shared" si="10"/>
        <v>2.0503981008909333</v>
      </c>
    </row>
    <row r="25" spans="1:16">
      <c r="A25" s="30">
        <f t="shared" si="11"/>
        <v>0.70000000000000007</v>
      </c>
      <c r="B25" s="5">
        <f t="shared" si="0"/>
        <v>0.29999999999999993</v>
      </c>
      <c r="C25" s="31">
        <v>90</v>
      </c>
      <c r="D25" s="5">
        <f t="shared" si="12"/>
        <v>363.15</v>
      </c>
      <c r="E25" s="5">
        <f t="shared" si="1"/>
        <v>1.0057668053172291</v>
      </c>
      <c r="F25" s="5">
        <f t="shared" si="2"/>
        <v>0.38616902968096672</v>
      </c>
      <c r="G25" s="5">
        <f t="shared" si="3"/>
        <v>0.5317994356414153</v>
      </c>
      <c r="H25" s="5">
        <f t="shared" si="4"/>
        <v>0.4682005643585847</v>
      </c>
      <c r="I25" s="5">
        <f t="shared" si="5"/>
        <v>0.5317994356414153</v>
      </c>
      <c r="J25" s="5">
        <f t="shared" si="6"/>
        <v>0.4682005643585847</v>
      </c>
      <c r="K25" s="5">
        <f t="shared" si="7"/>
        <v>0.39793125181509803</v>
      </c>
      <c r="L25" s="5">
        <f t="shared" si="8"/>
        <v>0.60206874818490197</v>
      </c>
      <c r="M25" s="5">
        <f t="shared" si="13"/>
        <v>0.30687730401692842</v>
      </c>
      <c r="N25" s="5">
        <f t="shared" si="9"/>
        <v>0.88095736574289518</v>
      </c>
      <c r="O25" s="5">
        <f t="shared" si="10"/>
        <v>1.3591741926271215</v>
      </c>
      <c r="P25" s="5">
        <f t="shared" si="10"/>
        <v>2.4132089244124146</v>
      </c>
    </row>
    <row r="26" spans="1:16">
      <c r="A26" s="30">
        <f t="shared" si="11"/>
        <v>0.75000000000000011</v>
      </c>
      <c r="B26" s="5">
        <f t="shared" si="0"/>
        <v>0.24999999999999989</v>
      </c>
      <c r="C26" s="31">
        <v>90</v>
      </c>
      <c r="D26" s="5">
        <f t="shared" si="12"/>
        <v>363.15</v>
      </c>
      <c r="E26" s="5">
        <f t="shared" si="1"/>
        <v>1.0057668053172291</v>
      </c>
      <c r="F26" s="5">
        <f t="shared" si="2"/>
        <v>0.38616902968096672</v>
      </c>
      <c r="G26" s="5">
        <f t="shared" si="3"/>
        <v>0.5935556811758057</v>
      </c>
      <c r="H26" s="5">
        <f t="shared" si="4"/>
        <v>0.40644431882419435</v>
      </c>
      <c r="I26" s="5">
        <f t="shared" si="5"/>
        <v>0.5935556811758057</v>
      </c>
      <c r="J26" s="5">
        <f t="shared" si="6"/>
        <v>0.40644431882419435</v>
      </c>
      <c r="K26" s="5">
        <f t="shared" si="7"/>
        <v>0.4593951297458348</v>
      </c>
      <c r="L26" s="5">
        <f t="shared" si="8"/>
        <v>0.54060487025416515</v>
      </c>
      <c r="M26" s="5">
        <f t="shared" si="13"/>
        <v>0.23288648523007432</v>
      </c>
      <c r="N26" s="5">
        <f t="shared" si="9"/>
        <v>1.0765037813659473</v>
      </c>
      <c r="O26" s="5">
        <f t="shared" si="10"/>
        <v>1.2622381885170426</v>
      </c>
      <c r="P26" s="5">
        <f t="shared" si="10"/>
        <v>2.9344022838031472</v>
      </c>
    </row>
    <row r="27" spans="1:16">
      <c r="A27" s="30">
        <f t="shared" si="11"/>
        <v>0.80000000000000016</v>
      </c>
      <c r="B27" s="5">
        <f t="shared" si="0"/>
        <v>0.19999999999999984</v>
      </c>
      <c r="C27" s="31">
        <v>90</v>
      </c>
      <c r="D27" s="5">
        <f t="shared" si="12"/>
        <v>363.15</v>
      </c>
      <c r="E27" s="5">
        <f t="shared" si="1"/>
        <v>1.0057668053172291</v>
      </c>
      <c r="F27" s="5">
        <f t="shared" si="2"/>
        <v>0.38616902968096672</v>
      </c>
      <c r="G27" s="5">
        <f t="shared" si="3"/>
        <v>0.66068900424728672</v>
      </c>
      <c r="H27" s="5">
        <f t="shared" si="4"/>
        <v>0.33931099575271334</v>
      </c>
      <c r="I27" s="5">
        <f t="shared" si="5"/>
        <v>0.66068900424728672</v>
      </c>
      <c r="J27" s="5">
        <f t="shared" si="6"/>
        <v>0.33931099575271334</v>
      </c>
      <c r="K27" s="5">
        <f t="shared" si="7"/>
        <v>0.5311854963264484</v>
      </c>
      <c r="L27" s="5">
        <f t="shared" si="8"/>
        <v>0.46881450367355165</v>
      </c>
      <c r="M27" s="5">
        <f t="shared" si="13"/>
        <v>0.16433896100429435</v>
      </c>
      <c r="N27" s="5">
        <f>LN(_phi2/_x2)+5*_q2*LN(theta2/_phi2)+_phi1*(_lf2)-_qp2*LN(thetap2+thetap1*_tau12)+thetap1*_qp2*(_tau12/(thetap2+thetap1*_tau12)-_tau21/(thetap1+thetap2*_tau21))</f>
        <v>1.3133611592944561</v>
      </c>
      <c r="O27" s="5">
        <f t="shared" si="10"/>
        <v>1.1786137514930972</v>
      </c>
      <c r="P27" s="5">
        <f t="shared" si="10"/>
        <v>3.7186517109531874</v>
      </c>
    </row>
    <row r="28" spans="1:16">
      <c r="A28" s="30">
        <f t="shared" si="11"/>
        <v>0.8500000000000002</v>
      </c>
      <c r="B28" s="5">
        <f t="shared" si="0"/>
        <v>0.1499999999999998</v>
      </c>
      <c r="C28" s="31">
        <v>90</v>
      </c>
      <c r="D28" s="5">
        <f>C28+273.15</f>
        <v>363.15</v>
      </c>
      <c r="E28" s="5">
        <f t="shared" si="1"/>
        <v>1.0057668053172291</v>
      </c>
      <c r="F28" s="5">
        <f t="shared" si="2"/>
        <v>0.38616902968096672</v>
      </c>
      <c r="G28" s="5">
        <f t="shared" si="3"/>
        <v>0.73393363759713859</v>
      </c>
      <c r="H28" s="5">
        <f t="shared" si="4"/>
        <v>0.26606636240286141</v>
      </c>
      <c r="I28" s="5">
        <f t="shared" si="5"/>
        <v>0.73393363759713859</v>
      </c>
      <c r="J28" s="5">
        <f t="shared" si="6"/>
        <v>0.26606636240286141</v>
      </c>
      <c r="K28" s="5">
        <f t="shared" si="7"/>
        <v>0.61614343062674115</v>
      </c>
      <c r="L28" s="5">
        <f t="shared" si="8"/>
        <v>0.38385656937325885</v>
      </c>
      <c r="M28" s="5">
        <f>LN(_phi1/_x1)+5*_q1*LN(theta1/_phi1)+_phi2*(_lf1)-_qp1*LN(thetap1+thetap2*_tau21)+thetap2*_qp1*(_tau21/(thetap1+thetap2*_tau21)-_tau12/(thetap2+thetap1*_tau12))</f>
        <v>0.10299962551678715</v>
      </c>
      <c r="N28" s="5">
        <f>LN(_phi2/_x2)+5*_q2*LN(theta2/_phi2)+_phi1*(_lf2)-_qp2*LN(thetap2+thetap1*_tau12)+thetap1*_qp2*(_tau12/(thetap2+thetap1*_tau12)-_tau21/(thetap1+thetap2*_tau21))</f>
        <v>1.6037908500438656</v>
      </c>
      <c r="O28" s="5">
        <f t="shared" si="10"/>
        <v>1.1084909939646608</v>
      </c>
      <c r="P28" s="5">
        <f t="shared" si="10"/>
        <v>4.9718442614770915</v>
      </c>
    </row>
    <row r="29" spans="1:16">
      <c r="A29" s="30">
        <f t="shared" si="11"/>
        <v>0.90000000000000024</v>
      </c>
      <c r="B29" s="5">
        <f t="shared" si="0"/>
        <v>9.9999999999999756E-2</v>
      </c>
      <c r="C29" s="31">
        <v>90</v>
      </c>
      <c r="D29" s="5">
        <f>C29+273.15</f>
        <v>363.15</v>
      </c>
      <c r="E29" s="5">
        <f t="shared" si="1"/>
        <v>1.0057668053172291</v>
      </c>
      <c r="F29" s="5">
        <f t="shared" si="2"/>
        <v>0.38616902968096672</v>
      </c>
      <c r="G29" s="5">
        <f t="shared" si="3"/>
        <v>0.81416386663220508</v>
      </c>
      <c r="H29" s="5">
        <f t="shared" si="4"/>
        <v>0.18583613336779489</v>
      </c>
      <c r="I29" s="5">
        <f t="shared" si="5"/>
        <v>0.81416386663220508</v>
      </c>
      <c r="J29" s="5">
        <f t="shared" si="6"/>
        <v>0.18583613336779489</v>
      </c>
      <c r="K29" s="5">
        <f t="shared" si="7"/>
        <v>0.71825744498130673</v>
      </c>
      <c r="L29" s="5">
        <f t="shared" si="8"/>
        <v>0.28174255501869316</v>
      </c>
      <c r="M29" s="5">
        <f>LN(_phi1/_x1)+5*_q1*LN(theta1/_phi1)+_phi2*(_lf1)-_qp1*LN(thetap1+thetap2*_tau21)+thetap2*_qp1*(_tau21/(thetap1+thetap2*_tau21)-_tau12/(thetap2+thetap1*_tau12))</f>
        <v>5.1648114852119009E-2</v>
      </c>
      <c r="N29" s="5">
        <f>LN(_phi2/_x2)+5*_q2*LN(theta2/_phi2)+_phi1*(_lf2)-_qp2*LN(thetap2+thetap1*_tau12)+thetap1*_qp2*(_tau12/(thetap2+thetap1*_tau12)-_tau21/(thetap1+thetap2*_tau21))</f>
        <v>1.9656144577190715</v>
      </c>
      <c r="O29" s="5">
        <f t="shared" si="10"/>
        <v>1.0530051404429426</v>
      </c>
      <c r="P29" s="5">
        <f t="shared" si="10"/>
        <v>7.1392980394729753</v>
      </c>
    </row>
    <row r="30" spans="1:16">
      <c r="A30" s="30">
        <f t="shared" si="11"/>
        <v>0.95000000000000029</v>
      </c>
      <c r="B30" s="5">
        <f t="shared" si="0"/>
        <v>4.9999999999999711E-2</v>
      </c>
      <c r="C30" s="31">
        <v>90</v>
      </c>
      <c r="D30" s="5">
        <f>C30+273.15</f>
        <v>363.15</v>
      </c>
      <c r="E30" s="5">
        <f t="shared" si="1"/>
        <v>1.0057668053172291</v>
      </c>
      <c r="F30" s="5">
        <f t="shared" si="2"/>
        <v>0.38616902968096672</v>
      </c>
      <c r="G30" s="5">
        <f t="shared" si="3"/>
        <v>0.90242909485683331</v>
      </c>
      <c r="H30" s="5">
        <f t="shared" si="4"/>
        <v>9.7570905143166797E-2</v>
      </c>
      <c r="I30" s="5">
        <f t="shared" si="5"/>
        <v>0.90242909485683331</v>
      </c>
      <c r="J30" s="5">
        <f t="shared" si="6"/>
        <v>9.7570905143166797E-2</v>
      </c>
      <c r="K30" s="5">
        <f t="shared" si="7"/>
        <v>0.84330781217586048</v>
      </c>
      <c r="L30" s="5">
        <f t="shared" si="8"/>
        <v>0.15669218782413963</v>
      </c>
      <c r="M30" s="5">
        <f>LN(_phi1/_x1)+5*_q1*LN(theta1/_phi1)+_phi2*(_lf1)-_qp1*LN(thetap1+thetap2*_tau21)+thetap2*_qp1*(_tau21/(thetap1+thetap2*_tau21)-_tau12/(thetap2+thetap1*_tau12))</f>
        <v>1.4789865200370081E-2</v>
      </c>
      <c r="N30" s="5">
        <f>LN(_phi2/_x2)+5*_q2*LN(theta2/_phi2)+_phi1*(_lf2)-_qp2*LN(thetap2+thetap1*_tau12)+thetap1*_qp2*(_tau12/(thetap2+thetap1*_tau12)-_tau21/(thetap1+thetap2*_tau21))</f>
        <v>2.4256498162490994</v>
      </c>
      <c r="O30" s="5">
        <f t="shared" si="10"/>
        <v>1.0148997764457026</v>
      </c>
      <c r="P30" s="5">
        <f t="shared" si="10"/>
        <v>11.309576178370474</v>
      </c>
    </row>
    <row r="31" spans="1:16">
      <c r="A31" s="30">
        <v>1</v>
      </c>
      <c r="B31" s="5">
        <f t="shared" si="0"/>
        <v>0</v>
      </c>
      <c r="C31" s="31">
        <v>90</v>
      </c>
      <c r="D31" s="5">
        <f>C31+273.15</f>
        <v>363.15</v>
      </c>
      <c r="E31" s="5">
        <f t="shared" si="1"/>
        <v>1.0057668053172291</v>
      </c>
      <c r="F31" s="5">
        <f t="shared" si="2"/>
        <v>0.38616902968096672</v>
      </c>
      <c r="G31" s="5">
        <f t="shared" si="3"/>
        <v>1</v>
      </c>
      <c r="H31" s="5">
        <f t="shared" si="4"/>
        <v>0</v>
      </c>
      <c r="I31" s="5">
        <f t="shared" si="5"/>
        <v>1</v>
      </c>
      <c r="J31" s="5">
        <f t="shared" si="6"/>
        <v>0</v>
      </c>
      <c r="K31" s="5">
        <f t="shared" si="7"/>
        <v>1</v>
      </c>
      <c r="L31" s="5">
        <f t="shared" si="8"/>
        <v>0</v>
      </c>
      <c r="M31" s="5">
        <f>LN(_phi1/_x1)+5*_q1*LN(theta1/_phi1)+_phi2*(_lf1)-_qp1*LN(thetap1+thetap2*_tau21)+thetap2*_qp1*(_tau21/(thetap1+thetap2*_tau21)-_tau12/(thetap2+thetap1*_tau12))</f>
        <v>0</v>
      </c>
      <c r="N31" s="5">
        <f>LN(_r2/_r1)+5*_q2*LN(_q2*_r1/_q1/_r2)+_lf2-_qp2*LN(_tau12)+_qp2*(1-_tau21)</f>
        <v>3.0259628161524068</v>
      </c>
      <c r="O31" s="5">
        <f t="shared" si="10"/>
        <v>1</v>
      </c>
      <c r="P31" s="5">
        <f t="shared" si="10"/>
        <v>20.613842500114014</v>
      </c>
    </row>
  </sheetData>
  <phoneticPr fontId="36" type="noConversion"/>
  <printOptions gridLinesSet="0"/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S46"/>
  <sheetViews>
    <sheetView showGridLines="0" zoomScale="150" zoomScaleNormal="150" zoomScalePageLayoutView="150" workbookViewId="0">
      <selection activeCell="B13" sqref="B13"/>
    </sheetView>
  </sheetViews>
  <sheetFormatPr baseColWidth="10" defaultColWidth="9.1640625" defaultRowHeight="13"/>
  <cols>
    <col min="1" max="1" width="12.1640625" style="60" customWidth="1"/>
    <col min="2" max="4" width="9.1640625" style="60" customWidth="1"/>
    <col min="5" max="5" width="10.6640625" style="60" customWidth="1"/>
    <col min="6" max="6" width="10.1640625" style="60" customWidth="1"/>
    <col min="7" max="18" width="10.1640625" style="60" hidden="1" customWidth="1"/>
    <col min="19" max="19" width="10.1640625" style="60" customWidth="1"/>
    <col min="20" max="16384" width="9.1640625" style="60"/>
  </cols>
  <sheetData>
    <row r="1" spans="1:19">
      <c r="A1" s="60" t="s">
        <v>10</v>
      </c>
    </row>
    <row r="2" spans="1:19">
      <c r="A2" s="60" t="s">
        <v>66</v>
      </c>
    </row>
    <row r="3" spans="1:19">
      <c r="A3" s="69" t="s">
        <v>226</v>
      </c>
    </row>
    <row r="4" spans="1:19" ht="15">
      <c r="A4" s="69" t="s">
        <v>69</v>
      </c>
    </row>
    <row r="5" spans="1:19">
      <c r="A5" s="61"/>
      <c r="B5" s="61">
        <v>1</v>
      </c>
      <c r="C5" s="63">
        <v>2</v>
      </c>
      <c r="D5" s="61">
        <v>3</v>
      </c>
      <c r="E5" s="61">
        <v>4</v>
      </c>
      <c r="F5" s="61">
        <v>5</v>
      </c>
    </row>
    <row r="6" spans="1:19">
      <c r="A6" s="183" t="s">
        <v>223</v>
      </c>
      <c r="B6" s="62">
        <v>8.0713100000000004</v>
      </c>
      <c r="C6" s="62">
        <v>7.280662108153515</v>
      </c>
      <c r="D6" s="62"/>
      <c r="E6" s="62"/>
      <c r="F6" s="62"/>
    </row>
    <row r="7" spans="1:19">
      <c r="A7" s="183" t="s">
        <v>224</v>
      </c>
      <c r="B7" s="62">
        <v>1730.63</v>
      </c>
      <c r="C7" s="62">
        <v>1434.2010693621778</v>
      </c>
      <c r="D7" s="62"/>
      <c r="E7" s="62"/>
      <c r="F7" s="62"/>
      <c r="O7" s="69" t="s">
        <v>65</v>
      </c>
    </row>
    <row r="8" spans="1:19">
      <c r="A8" s="183" t="s">
        <v>225</v>
      </c>
      <c r="B8" s="62">
        <v>233.42599999999999</v>
      </c>
      <c r="C8" s="62">
        <v>246.49904574755209</v>
      </c>
      <c r="D8" s="62"/>
      <c r="E8" s="62"/>
      <c r="F8" s="62"/>
      <c r="O8" s="5" t="s">
        <v>67</v>
      </c>
    </row>
    <row r="9" spans="1:19" ht="15">
      <c r="A9" s="183" t="s">
        <v>227</v>
      </c>
      <c r="B9" s="61">
        <f>10^(A.-B./(B12-273.15+C.))</f>
        <v>26.197806931661823</v>
      </c>
      <c r="C9" s="61">
        <f>10^(A.-B./(TK-273.15+C.))</f>
        <v>107.40039775848409</v>
      </c>
      <c r="D9" s="61">
        <f>10^(A.-B./(TK-273.15+C.))</f>
        <v>1</v>
      </c>
      <c r="E9" s="61">
        <f>10^(A.-B./(TK-273.15+C.))</f>
        <v>1</v>
      </c>
      <c r="F9" s="61">
        <f>10^(A.-B./(TK-273.15+C.))</f>
        <v>1</v>
      </c>
      <c r="O9" s="5" t="s">
        <v>68</v>
      </c>
    </row>
    <row r="10" spans="1:19">
      <c r="A10" s="184" t="s">
        <v>228</v>
      </c>
      <c r="B10" s="185">
        <f>act*Psat/$B$11</f>
        <v>0.30031217494950435</v>
      </c>
      <c r="C10" s="185">
        <f>act*Psat/$B$11</f>
        <v>0.69968782504930527</v>
      </c>
      <c r="D10" s="185">
        <f>act*Psat/$B$11</f>
        <v>2.224520527091222E-14</v>
      </c>
      <c r="E10" s="185">
        <f>act*Psat/$B$11</f>
        <v>9.8729499643535621E-13</v>
      </c>
      <c r="F10" s="185">
        <f>act*Psat/$B$11</f>
        <v>1.8062192466948416E-13</v>
      </c>
      <c r="H10" s="69" t="s">
        <v>70</v>
      </c>
      <c r="O10" s="69"/>
      <c r="P10" s="60">
        <v>1</v>
      </c>
      <c r="Q10" s="60">
        <v>2</v>
      </c>
      <c r="R10" s="60">
        <v>3</v>
      </c>
      <c r="S10" s="69" t="s">
        <v>71</v>
      </c>
    </row>
    <row r="11" spans="1:19" ht="15">
      <c r="A11" s="184" t="s">
        <v>229</v>
      </c>
      <c r="B11" s="186">
        <f t="array" ref="B11">SUM(B17:F17*B9:F9)</f>
        <v>84.889490697490601</v>
      </c>
      <c r="C11" s="187"/>
      <c r="D11" s="187"/>
      <c r="O11" s="5" t="s">
        <v>72</v>
      </c>
      <c r="P11" s="197">
        <v>0.53096394030730898</v>
      </c>
      <c r="Q11" s="197">
        <v>5.0625342641324211</v>
      </c>
      <c r="R11" s="197">
        <v>2.6115685140434906</v>
      </c>
    </row>
    <row r="12" spans="1:19" ht="15">
      <c r="A12" s="61" t="s">
        <v>73</v>
      </c>
      <c r="B12" s="62">
        <v>299.85000000000002</v>
      </c>
      <c r="C12" s="69" t="s">
        <v>74</v>
      </c>
      <c r="H12" s="69" t="s">
        <v>75</v>
      </c>
      <c r="O12" s="5" t="s">
        <v>76</v>
      </c>
      <c r="P12" s="60">
        <f>B16/I16</f>
        <v>0.50272077300718543</v>
      </c>
      <c r="Q12" s="60">
        <f>C16/J16</f>
        <v>10.693732613040609</v>
      </c>
      <c r="R12" s="60">
        <f>D16/K16</f>
        <v>5.6931543990261941</v>
      </c>
    </row>
    <row r="13" spans="1:19" ht="16">
      <c r="A13" s="61"/>
      <c r="B13" s="61">
        <v>1</v>
      </c>
      <c r="C13" s="63">
        <v>2</v>
      </c>
      <c r="D13" s="61">
        <v>3</v>
      </c>
      <c r="E13" s="61">
        <v>4</v>
      </c>
      <c r="F13" s="61">
        <v>5</v>
      </c>
      <c r="G13"/>
      <c r="H13" s="61"/>
      <c r="I13" s="61">
        <v>1</v>
      </c>
      <c r="J13" s="63">
        <v>2</v>
      </c>
      <c r="K13" s="61">
        <v>3</v>
      </c>
      <c r="L13" s="61">
        <v>4</v>
      </c>
      <c r="M13" s="61">
        <v>5</v>
      </c>
      <c r="O13" s="69" t="s">
        <v>77</v>
      </c>
      <c r="P13" s="154">
        <f>B15</f>
        <v>0.96599999999999997</v>
      </c>
      <c r="Q13" s="154">
        <f>C15</f>
        <v>3.4000000000000002E-2</v>
      </c>
      <c r="R13" s="154">
        <f>D15</f>
        <v>9.9999999999999994E-12</v>
      </c>
    </row>
    <row r="14" spans="1:19" ht="16">
      <c r="A14" s="61" t="s">
        <v>78</v>
      </c>
      <c r="B14" s="62" t="s">
        <v>79</v>
      </c>
      <c r="C14" s="62" t="s">
        <v>80</v>
      </c>
      <c r="D14" s="62" t="s">
        <v>81</v>
      </c>
      <c r="E14" s="62"/>
      <c r="F14" s="62"/>
      <c r="G14"/>
      <c r="H14" s="61" t="s">
        <v>78</v>
      </c>
      <c r="I14" s="62" t="str">
        <f>B14</f>
        <v>Water</v>
      </c>
      <c r="J14" s="62" t="str">
        <f>C14</f>
        <v>MEK</v>
      </c>
      <c r="K14" s="62" t="str">
        <f>D14</f>
        <v>Acetic</v>
      </c>
      <c r="L14" s="62">
        <f>E14</f>
        <v>0</v>
      </c>
      <c r="M14" s="62">
        <f>F14</f>
        <v>0</v>
      </c>
      <c r="O14" s="69" t="s">
        <v>82</v>
      </c>
      <c r="P14" s="154">
        <f>(1-R13*(R11-Q11)-Q11)/(P11-Q11)</f>
        <v>0.89649591064466028</v>
      </c>
      <c r="Q14" s="154">
        <f>1-P14-R14</f>
        <v>9.3504089355339728E-2</v>
      </c>
      <c r="R14" s="196">
        <v>0.01</v>
      </c>
    </row>
    <row r="15" spans="1:19" ht="16">
      <c r="A15" s="61" t="s">
        <v>83</v>
      </c>
      <c r="B15" s="64">
        <v>0.96599999999999997</v>
      </c>
      <c r="C15" s="64">
        <v>3.4000000000000002E-2</v>
      </c>
      <c r="D15" s="64">
        <v>9.9999999999999994E-12</v>
      </c>
      <c r="E15" s="64">
        <v>9.9999999999999994E-12</v>
      </c>
      <c r="F15" s="64">
        <v>9.9999999999999994E-12</v>
      </c>
      <c r="G15"/>
      <c r="H15" s="61" t="s">
        <v>83</v>
      </c>
      <c r="I15" s="64">
        <v>0.47314497299628228</v>
      </c>
      <c r="J15" s="64">
        <v>0.50073914225429261</v>
      </c>
      <c r="K15" s="64">
        <v>2.6115884749425753E-2</v>
      </c>
      <c r="L15" s="64">
        <v>9.9999999999999994E-12</v>
      </c>
      <c r="M15" s="64">
        <v>9.9999999999999994E-12</v>
      </c>
      <c r="O15" s="69" t="s">
        <v>84</v>
      </c>
      <c r="P15" s="154">
        <f>I15</f>
        <v>0.47314497299628228</v>
      </c>
      <c r="Q15" s="154">
        <f>J15</f>
        <v>0.50073914225429261</v>
      </c>
      <c r="R15" s="154">
        <f>K15</f>
        <v>2.6115884749425753E-2</v>
      </c>
    </row>
    <row r="16" spans="1:19" ht="16">
      <c r="A16" s="65" t="s">
        <v>85</v>
      </c>
      <c r="B16" s="61">
        <f>EXP(B40+B44)</f>
        <v>1.0073602357412628</v>
      </c>
      <c r="C16" s="61">
        <f>EXP(C40+C44)</f>
        <v>16.265725474159268</v>
      </c>
      <c r="D16" s="61">
        <f>EXP(D40+D44)</f>
        <v>0.18883841459088718</v>
      </c>
      <c r="E16" s="61">
        <f>EXP(E40+E44)</f>
        <v>8.3810969415578196</v>
      </c>
      <c r="F16" s="61">
        <f>EXP(F40+F44)</f>
        <v>1.5332903193993024</v>
      </c>
      <c r="G16"/>
      <c r="H16" s="65" t="s">
        <v>85</v>
      </c>
      <c r="I16" s="61">
        <f>EXP(I40+I44)</f>
        <v>2.0038166111883831</v>
      </c>
      <c r="J16" s="61">
        <f>EXP(J40+J44)</f>
        <v>1.521052195967928</v>
      </c>
      <c r="K16" s="61">
        <f>EXP(K40+K44)</f>
        <v>3.3169382271309507E-2</v>
      </c>
      <c r="L16" s="61">
        <f>EXP(L40+L44)</f>
        <v>1.0205546571711785</v>
      </c>
      <c r="M16" s="61">
        <f>EXP(M40+M44)</f>
        <v>0.69819947789826842</v>
      </c>
      <c r="O16" s="69" t="s">
        <v>86</v>
      </c>
      <c r="P16" s="154">
        <f>P11*P14</f>
        <v>0.476007001185278</v>
      </c>
      <c r="Q16" s="154">
        <f>Q11*Q14</f>
        <v>0.47336765619790694</v>
      </c>
      <c r="R16" s="154">
        <f>R11*R14</f>
        <v>2.6115685140434906E-2</v>
      </c>
    </row>
    <row r="17" spans="1:15">
      <c r="A17" s="61" t="s">
        <v>87</v>
      </c>
      <c r="B17" s="61">
        <f>xalpha*galpha</f>
        <v>0.97310998772605983</v>
      </c>
      <c r="C17" s="61">
        <f>xalpha*galpha</f>
        <v>0.55303466612141516</v>
      </c>
      <c r="D17" s="61">
        <f>xalpha*galpha</f>
        <v>1.8883841459088718E-12</v>
      </c>
      <c r="E17" s="61">
        <f>xalpha*galpha</f>
        <v>8.3810969415578192E-11</v>
      </c>
      <c r="F17" s="61">
        <f>xalpha*galpha</f>
        <v>1.5332903193993023E-11</v>
      </c>
      <c r="H17" s="61" t="s">
        <v>87</v>
      </c>
      <c r="I17" s="61">
        <f>xbeta*gbeta</f>
        <v>0.94809575639022936</v>
      </c>
      <c r="J17" s="61">
        <f>xbeta*gbeta</f>
        <v>0.76165037193298846</v>
      </c>
      <c r="K17" s="61">
        <f>xbeta*gbeta</f>
        <v>8.6624776460716491E-4</v>
      </c>
      <c r="L17" s="61">
        <f>xbeta*gbeta</f>
        <v>1.0205546571711784E-11</v>
      </c>
      <c r="M17" s="61">
        <f>xbeta*gbeta</f>
        <v>6.9819947789826834E-12</v>
      </c>
    </row>
    <row r="19" spans="1:15">
      <c r="A19" s="61" t="s">
        <v>43</v>
      </c>
      <c r="B19" s="62">
        <v>0.92</v>
      </c>
      <c r="C19" s="62">
        <v>3.2479</v>
      </c>
      <c r="D19" s="62">
        <v>2.2023999999999999</v>
      </c>
      <c r="E19" s="62">
        <v>3.19</v>
      </c>
      <c r="F19" s="62">
        <v>1.43</v>
      </c>
      <c r="H19" s="66"/>
      <c r="I19" s="71"/>
      <c r="J19" s="71"/>
      <c r="K19" s="71"/>
      <c r="L19" s="71"/>
      <c r="M19" s="71"/>
      <c r="O19" s="69" t="s">
        <v>88</v>
      </c>
    </row>
    <row r="20" spans="1:15">
      <c r="A20" s="61" t="s">
        <v>44</v>
      </c>
      <c r="B20" s="62">
        <v>1.4</v>
      </c>
      <c r="C20" s="62">
        <v>2.8759999999999999</v>
      </c>
      <c r="D20" s="62">
        <v>2.0720000000000001</v>
      </c>
      <c r="E20" s="62">
        <v>2.4</v>
      </c>
      <c r="F20" s="62">
        <v>1.43</v>
      </c>
      <c r="G20" s="66"/>
      <c r="H20" s="66"/>
      <c r="I20" s="71"/>
      <c r="J20" s="71"/>
      <c r="K20" s="71"/>
      <c r="L20" s="71"/>
      <c r="M20" s="71"/>
      <c r="O20" s="69" t="s">
        <v>89</v>
      </c>
    </row>
    <row r="21" spans="1:15">
      <c r="A21" s="65" t="s">
        <v>90</v>
      </c>
      <c r="B21" s="61">
        <f>$B$19*B15/B23</f>
        <v>0.88947730091331378</v>
      </c>
      <c r="C21" s="61">
        <f>$C$19*C15/B23</f>
        <v>0.11052269901840396</v>
      </c>
      <c r="D21" s="61">
        <f>$D$19*D15/B23</f>
        <v>2.2042767210499168E-11</v>
      </c>
      <c r="E21" s="61">
        <f>$E$19*E15/B23</f>
        <v>3.1927182801258784E-11</v>
      </c>
      <c r="F21" s="61">
        <f>$F$19*F15/B23</f>
        <v>1.431218539366773E-11</v>
      </c>
      <c r="G21" s="71"/>
      <c r="H21" s="65" t="s">
        <v>90</v>
      </c>
      <c r="I21" s="61">
        <f>$B$19*I15/I23</f>
        <v>0.20540829111478923</v>
      </c>
      <c r="J21" s="61">
        <f>$C$19*J15/I23</f>
        <v>0.76745002087402914</v>
      </c>
      <c r="K21" s="61">
        <f>$D$19*K15/I23</f>
        <v>2.7141687989380676E-2</v>
      </c>
      <c r="L21" s="61">
        <f>$E$19*L15/I23</f>
        <v>1.5053122469885422E-11</v>
      </c>
      <c r="M21" s="61">
        <f>$F$19*M15/I23</f>
        <v>6.7479514520176035E-12</v>
      </c>
      <c r="O21" s="69" t="s">
        <v>91</v>
      </c>
    </row>
    <row r="22" spans="1:15">
      <c r="A22" s="65" t="s">
        <v>44</v>
      </c>
      <c r="B22" s="61">
        <f>$B$20*B15/D23</f>
        <v>0.93257131505033819</v>
      </c>
      <c r="C22" s="61">
        <f>$C$20*C15/D23</f>
        <v>6.7428684908963546E-2</v>
      </c>
      <c r="D22" s="61">
        <f>$D$20*D15/D23</f>
        <v>1.4287842093938931E-11</v>
      </c>
      <c r="E22" s="61">
        <f>$E$20*E15/D23</f>
        <v>1.6549624047033509E-11</v>
      </c>
      <c r="F22" s="61">
        <f>$F$20*F15/D23</f>
        <v>9.8608176613574651E-12</v>
      </c>
      <c r="G22" s="71"/>
      <c r="H22" s="65" t="s">
        <v>44</v>
      </c>
      <c r="I22" s="61">
        <f>$B$20*I15/K23</f>
        <v>0.30714569959014243</v>
      </c>
      <c r="J22" s="61">
        <f>$C$20*J15/K23</f>
        <v>0.66776337566209076</v>
      </c>
      <c r="K22" s="61">
        <f>$D$20*K15/K23</f>
        <v>2.5090924730007819E-2</v>
      </c>
      <c r="L22" s="61">
        <f>$E$20*L15/K23</f>
        <v>1.1128417611145368E-11</v>
      </c>
      <c r="M22" s="61">
        <f>$F$20*M15/K23</f>
        <v>6.630682159974115E-12</v>
      </c>
      <c r="O22" s="69" t="s">
        <v>92</v>
      </c>
    </row>
    <row r="23" spans="1:15" ht="15">
      <c r="A23" s="67" t="s">
        <v>93</v>
      </c>
      <c r="B23" s="60">
        <f t="array" ref="B23">SUM(B15:F15*$B$19:$F$19)</f>
        <v>0.99914860006822415</v>
      </c>
      <c r="C23" s="67" t="s">
        <v>94</v>
      </c>
      <c r="D23" s="60">
        <f t="array" ref="D23">SUM($B$20:$F$20*B15:F15)</f>
        <v>1.4501840000590198</v>
      </c>
      <c r="E23"/>
      <c r="F23" s="66"/>
      <c r="H23" s="67" t="s">
        <v>93</v>
      </c>
      <c r="I23" s="60">
        <f t="array" ref="I23">SUM(I15:M15*$B$19:$F$19)</f>
        <v>2.1191616599026317</v>
      </c>
      <c r="J23" s="67" t="s">
        <v>94</v>
      </c>
      <c r="K23" s="60">
        <f t="array" ref="K23">SUM($B$20:$F$20*I15:M15)</f>
        <v>2.1566408485572506</v>
      </c>
      <c r="L23"/>
      <c r="M23" s="66"/>
    </row>
    <row r="24" spans="1:15" ht="15">
      <c r="A24" s="70" t="s">
        <v>95</v>
      </c>
      <c r="H24" s="151"/>
      <c r="I24" s="66"/>
      <c r="J24" s="66"/>
      <c r="K24" s="66"/>
      <c r="L24" s="66"/>
      <c r="M24" s="66"/>
    </row>
    <row r="25" spans="1:15">
      <c r="A25" s="61"/>
      <c r="B25" s="61">
        <v>1</v>
      </c>
      <c r="C25" s="61">
        <v>2</v>
      </c>
      <c r="D25" s="61">
        <v>3</v>
      </c>
      <c r="E25" s="61">
        <v>4</v>
      </c>
      <c r="F25" s="61">
        <v>5</v>
      </c>
      <c r="H25" s="66"/>
      <c r="I25" s="66"/>
      <c r="J25" s="66"/>
      <c r="K25" s="66"/>
      <c r="L25" s="66"/>
      <c r="M25" s="66"/>
    </row>
    <row r="26" spans="1:15">
      <c r="A26" s="61">
        <v>1</v>
      </c>
      <c r="B26" s="61">
        <v>1</v>
      </c>
      <c r="C26" s="62">
        <f>-2.0882</f>
        <v>-2.0882000000000001</v>
      </c>
      <c r="D26" s="62">
        <f>254.15</f>
        <v>254.15</v>
      </c>
      <c r="E26" s="62">
        <v>0</v>
      </c>
      <c r="F26" s="62">
        <v>0</v>
      </c>
      <c r="H26" s="153" t="s">
        <v>96</v>
      </c>
      <c r="I26" s="66"/>
      <c r="J26" s="71"/>
      <c r="K26" s="71"/>
      <c r="L26" s="71"/>
      <c r="M26" s="71"/>
    </row>
    <row r="27" spans="1:15">
      <c r="A27" s="61">
        <v>2</v>
      </c>
      <c r="B27" s="62">
        <f>345.53</f>
        <v>345.53</v>
      </c>
      <c r="C27" s="61">
        <v>1</v>
      </c>
      <c r="D27" s="62">
        <f>-254.13</f>
        <v>-254.13</v>
      </c>
      <c r="E27" s="62">
        <v>0</v>
      </c>
      <c r="F27" s="62">
        <v>0</v>
      </c>
      <c r="H27" s="153" t="s">
        <v>97</v>
      </c>
      <c r="I27" s="71"/>
      <c r="J27" s="66"/>
      <c r="K27" s="71"/>
      <c r="L27" s="71"/>
      <c r="M27" s="71"/>
    </row>
    <row r="28" spans="1:15">
      <c r="A28" s="61">
        <v>3</v>
      </c>
      <c r="B28" s="62">
        <f>-301.02</f>
        <v>-301.02</v>
      </c>
      <c r="C28" s="62">
        <f>-4.5537</f>
        <v>-4.5537000000000001</v>
      </c>
      <c r="D28" s="61">
        <v>1</v>
      </c>
      <c r="E28" s="62">
        <v>0</v>
      </c>
      <c r="F28" s="62">
        <v>0</v>
      </c>
      <c r="G28" s="66"/>
      <c r="H28" s="153" t="s">
        <v>98</v>
      </c>
      <c r="I28" s="71"/>
      <c r="J28" s="71"/>
      <c r="K28" s="66"/>
      <c r="L28" s="71"/>
      <c r="M28" s="71"/>
    </row>
    <row r="29" spans="1:15">
      <c r="A29" s="61">
        <v>4</v>
      </c>
      <c r="B29" s="62">
        <v>0</v>
      </c>
      <c r="C29" s="62">
        <v>0</v>
      </c>
      <c r="D29" s="62">
        <v>0</v>
      </c>
      <c r="E29" s="61">
        <v>1</v>
      </c>
      <c r="F29" s="62">
        <v>0</v>
      </c>
      <c r="G29" s="71"/>
      <c r="H29" s="66"/>
      <c r="I29" s="71"/>
      <c r="J29" s="71"/>
      <c r="K29" s="71"/>
      <c r="L29" s="66"/>
      <c r="M29" s="71"/>
    </row>
    <row r="30" spans="1:15">
      <c r="A30" s="61">
        <v>5</v>
      </c>
      <c r="B30" s="62">
        <v>0</v>
      </c>
      <c r="C30" s="62">
        <v>0</v>
      </c>
      <c r="D30" s="62">
        <v>0</v>
      </c>
      <c r="E30" s="62">
        <v>0</v>
      </c>
      <c r="F30" s="61">
        <v>1</v>
      </c>
      <c r="G30" s="71"/>
      <c r="H30" s="66"/>
      <c r="I30" s="71"/>
      <c r="J30" s="71"/>
      <c r="K30" s="71"/>
      <c r="L30" s="71"/>
      <c r="M30" s="66"/>
    </row>
    <row r="31" spans="1:15">
      <c r="A31" s="66"/>
      <c r="B31" s="66"/>
      <c r="C31" s="66"/>
      <c r="D31" s="66"/>
      <c r="E31" s="66"/>
      <c r="F31" s="66"/>
      <c r="G31" s="71"/>
      <c r="H31" s="66"/>
      <c r="I31" s="66"/>
      <c r="J31" s="66"/>
      <c r="K31" s="66"/>
      <c r="L31" s="66"/>
      <c r="M31" s="66"/>
    </row>
    <row r="32" spans="1:15" ht="15">
      <c r="A32" s="67" t="s">
        <v>99</v>
      </c>
      <c r="G32" s="71"/>
      <c r="H32" s="81"/>
      <c r="I32" s="66"/>
      <c r="J32" s="66"/>
      <c r="K32" s="66"/>
      <c r="L32" s="66"/>
      <c r="M32" s="66"/>
    </row>
    <row r="33" spans="1:13">
      <c r="A33" s="61"/>
      <c r="B33" s="61">
        <v>1</v>
      </c>
      <c r="C33" s="61">
        <v>2</v>
      </c>
      <c r="D33" s="61">
        <v>3</v>
      </c>
      <c r="E33" s="61">
        <v>4</v>
      </c>
      <c r="F33" s="61">
        <v>5</v>
      </c>
      <c r="H33" s="66"/>
      <c r="I33" s="66"/>
      <c r="J33" s="66"/>
      <c r="K33" s="66"/>
      <c r="L33" s="66"/>
      <c r="M33" s="66"/>
    </row>
    <row r="34" spans="1:13">
      <c r="A34" s="61">
        <v>1</v>
      </c>
      <c r="B34" s="63">
        <v>1</v>
      </c>
      <c r="C34" s="63">
        <f>EXP(-C26/TK)</f>
        <v>1.006988454815827</v>
      </c>
      <c r="D34" s="63">
        <f>EXP(-D26/TK)</f>
        <v>0.42844604626852939</v>
      </c>
      <c r="E34" s="63">
        <f t="shared" ref="E34:F37" si="0">EXP(-E26/TK)</f>
        <v>1</v>
      </c>
      <c r="F34" s="63">
        <f t="shared" si="0"/>
        <v>1</v>
      </c>
      <c r="H34" s="66"/>
      <c r="I34" s="152"/>
      <c r="J34" s="152"/>
      <c r="K34" s="152"/>
      <c r="L34" s="152"/>
      <c r="M34" s="152"/>
    </row>
    <row r="35" spans="1:13">
      <c r="A35" s="61">
        <v>2</v>
      </c>
      <c r="B35" s="63">
        <f t="shared" ref="B35:E38" si="1">EXP(-B27/TK)</f>
        <v>0.31589580901042269</v>
      </c>
      <c r="C35" s="63">
        <v>1</v>
      </c>
      <c r="D35" s="63">
        <f>EXP(-D27/TK)</f>
        <v>2.333860496359935</v>
      </c>
      <c r="E35" s="63">
        <f t="shared" si="0"/>
        <v>1</v>
      </c>
      <c r="F35" s="63">
        <f t="shared" si="0"/>
        <v>1</v>
      </c>
      <c r="H35" s="66"/>
      <c r="I35" s="152"/>
      <c r="J35" s="152"/>
      <c r="K35" s="152"/>
      <c r="L35" s="152"/>
      <c r="M35" s="152"/>
    </row>
    <row r="36" spans="1:13">
      <c r="A36" s="61">
        <v>3</v>
      </c>
      <c r="B36" s="63">
        <f t="shared" si="1"/>
        <v>2.7289091510535251</v>
      </c>
      <c r="C36" s="63">
        <f t="shared" si="1"/>
        <v>1.015302495581641</v>
      </c>
      <c r="D36" s="63">
        <v>1</v>
      </c>
      <c r="E36" s="63">
        <f t="shared" si="0"/>
        <v>1</v>
      </c>
      <c r="F36" s="63">
        <f t="shared" si="0"/>
        <v>1</v>
      </c>
      <c r="H36" s="66"/>
      <c r="I36" s="152"/>
      <c r="J36" s="152"/>
      <c r="K36" s="152"/>
      <c r="L36" s="152"/>
      <c r="M36" s="152"/>
    </row>
    <row r="37" spans="1:13">
      <c r="A37" s="61">
        <v>4</v>
      </c>
      <c r="B37" s="63">
        <f t="shared" si="1"/>
        <v>1</v>
      </c>
      <c r="C37" s="63">
        <f t="shared" si="1"/>
        <v>1</v>
      </c>
      <c r="D37" s="63">
        <f t="shared" si="1"/>
        <v>1</v>
      </c>
      <c r="E37" s="63">
        <v>1</v>
      </c>
      <c r="F37" s="63">
        <f t="shared" si="0"/>
        <v>1</v>
      </c>
      <c r="H37" s="66"/>
      <c r="I37" s="152"/>
      <c r="J37" s="152"/>
      <c r="K37" s="152"/>
      <c r="L37" s="152"/>
      <c r="M37" s="152"/>
    </row>
    <row r="38" spans="1:13">
      <c r="A38" s="61">
        <v>5</v>
      </c>
      <c r="B38" s="63">
        <f t="shared" si="1"/>
        <v>1</v>
      </c>
      <c r="C38" s="63">
        <f t="shared" si="1"/>
        <v>1</v>
      </c>
      <c r="D38" s="63">
        <f t="shared" si="1"/>
        <v>1</v>
      </c>
      <c r="E38" s="63">
        <f t="shared" si="1"/>
        <v>1</v>
      </c>
      <c r="F38" s="63">
        <v>1</v>
      </c>
      <c r="H38" s="66"/>
      <c r="I38" s="152"/>
      <c r="J38" s="152"/>
      <c r="K38" s="152"/>
      <c r="L38" s="152"/>
      <c r="M38" s="152"/>
    </row>
    <row r="40" spans="1:13" ht="15">
      <c r="A40" s="68" t="s">
        <v>100</v>
      </c>
      <c r="B40" s="61">
        <f>LN(B21/B15)+(1-B21/B15)-5*B20*(LN(B21/B22)+(1-B21/B22))</f>
        <v>4.3984624326797034E-3</v>
      </c>
      <c r="C40" s="61">
        <f>LN(C21/C15)+(1-C21/C15)-5*C20*(LN(C21/C22)+(1-C21/C22))</f>
        <v>1.0126408537725431</v>
      </c>
      <c r="D40" s="61">
        <f>LN(D21/D15)+(1-D21/D15)-5*D20*(LN(D21/D22)+(1-D21/D22))</f>
        <v>0.71731409832205717</v>
      </c>
      <c r="E40" s="61">
        <f>LN(E21/E15)+(1-E21/E15)-5*E20*(LN(E21/E22)+(1-E21/E22))</f>
        <v>2.2331665879744547</v>
      </c>
      <c r="F40" s="61">
        <f>LN(F21/F15)+(1-F21/F15)-5*F20*(LN(F21/F22)+(1-F21/F22))</f>
        <v>0.49128201536896488</v>
      </c>
      <c r="H40" s="68" t="s">
        <v>100</v>
      </c>
      <c r="I40" s="61">
        <f>LN(I21/I15)+(1-I21/I15)-5*$B$20*(LN(I21/I22)+(1-I21/I22))</f>
        <v>0.22907677243278435</v>
      </c>
      <c r="J40" s="61">
        <f>LN(J21/J15)+(1-J21/J15)-5*$C$20*(LN(J21/J22)+(1-J21/J22))</f>
        <v>4.0237504614051317E-2</v>
      </c>
      <c r="K40" s="61">
        <f>LN(K21/K15)+(1-K21/K15)-5*$D$20*(LN(K21/K22)+(1-K21/K22))</f>
        <v>3.2075270812856951E-2</v>
      </c>
      <c r="L40" s="61">
        <f>LN(L21/L15)+(1-L21/L15)-5*$E$20*(LN(L21/L22)+(1-L21/L22))</f>
        <v>0.51077598066169161</v>
      </c>
      <c r="M40" s="61">
        <f>LN(M21/M15)+(1-M21/M15)-5*$F$20*(LN(M21/M22)+(1-M21/M22))</f>
        <v>-6.7036057486605585E-2</v>
      </c>
    </row>
    <row r="41" spans="1:13" ht="15">
      <c r="A41" s="65" t="s">
        <v>101</v>
      </c>
      <c r="B41" s="61">
        <f t="array" ref="B41:F41">MMULT(B22:F22,$B$34:$F$38)</f>
        <v>0.95387175408556479</v>
      </c>
      <c r="C41" s="61">
        <v>1.0065172324979843</v>
      </c>
      <c r="D41" s="61">
        <v>0.55692563686799001</v>
      </c>
      <c r="E41" s="61">
        <v>1</v>
      </c>
      <c r="F41" s="61">
        <v>1</v>
      </c>
      <c r="H41" s="65" t="s">
        <v>101</v>
      </c>
      <c r="I41" s="61">
        <f t="array" ref="I41:M41">MMULT(I22:M22,$B$34:$F$38)</f>
        <v>0.58656020549432208</v>
      </c>
      <c r="J41" s="61">
        <v>1.0025304276082816</v>
      </c>
      <c r="K41" s="61">
        <v>1.7151528487392578</v>
      </c>
      <c r="L41" s="61">
        <v>1</v>
      </c>
      <c r="M41" s="61">
        <v>1</v>
      </c>
    </row>
    <row r="42" spans="1:13" ht="15">
      <c r="A42" s="65" t="s">
        <v>102</v>
      </c>
      <c r="B42" s="61">
        <f>B22/B41</f>
        <v>0.97766949388741842</v>
      </c>
      <c r="C42" s="61">
        <f>C22/C41</f>
        <v>6.6992081935466102E-2</v>
      </c>
      <c r="D42" s="61">
        <f>D22/D41</f>
        <v>2.5654847161086296E-11</v>
      </c>
      <c r="E42" s="61">
        <f>E22/E41</f>
        <v>1.6549624047033509E-11</v>
      </c>
      <c r="F42" s="61">
        <f>F22/F41</f>
        <v>9.8608176613574651E-12</v>
      </c>
      <c r="H42" s="65" t="s">
        <v>102</v>
      </c>
      <c r="I42" s="61">
        <f>I22/I41</f>
        <v>0.52363882976223419</v>
      </c>
      <c r="J42" s="61">
        <f>J22/J41</f>
        <v>0.66607791371994718</v>
      </c>
      <c r="K42" s="61">
        <f>K22/K41</f>
        <v>1.4628973008703675E-2</v>
      </c>
      <c r="L42" s="61">
        <f>L22/L41</f>
        <v>1.1128417611145368E-11</v>
      </c>
      <c r="M42" s="61">
        <f>M22/M41</f>
        <v>6.630682159974115E-12</v>
      </c>
    </row>
    <row r="43" spans="1:13" ht="15">
      <c r="A43" s="65" t="s">
        <v>103</v>
      </c>
      <c r="B43" s="61">
        <f t="array" ref="B43:F43">MMULT(B42:F42,TRANSPOSE(B34:F38))</f>
        <v>1.0451297469979108</v>
      </c>
      <c r="C43" s="61">
        <v>0.37583377773812798</v>
      </c>
      <c r="D43" s="61">
        <v>2.7359884566005985</v>
      </c>
      <c r="E43" s="61">
        <v>1.0446615758749498</v>
      </c>
      <c r="F43" s="61">
        <v>1.0446615758749498</v>
      </c>
      <c r="H43" s="65" t="s">
        <v>103</v>
      </c>
      <c r="I43" s="61">
        <f t="array" ref="I43:M43">MMULT(I42:M42,TRANSPOSE($B$34:$F$38))</f>
        <v>1.2006393245503408</v>
      </c>
      <c r="J43" s="61">
        <v>0.86563520770204749</v>
      </c>
      <c r="K43" s="61">
        <v>2.1198623354632575</v>
      </c>
      <c r="L43" s="61">
        <v>1.2043457165086442</v>
      </c>
      <c r="M43" s="61">
        <v>1.2043457165086442</v>
      </c>
    </row>
    <row r="44" spans="1:13" ht="15">
      <c r="A44" s="68" t="s">
        <v>104</v>
      </c>
      <c r="B44" s="61">
        <f>B20*(1-LN(B41)-B43)</f>
        <v>2.9348189529687205E-3</v>
      </c>
      <c r="C44" s="61">
        <f>C20*(1-LN(C41)-C43)</f>
        <v>1.776419308549356</v>
      </c>
      <c r="D44" s="61">
        <f>D20*(1-LN(D41)-D43)</f>
        <v>-2.3841776771766696</v>
      </c>
      <c r="E44" s="61">
        <f>E20*(1-LN(E41)-E43)</f>
        <v>-0.10718778209987949</v>
      </c>
      <c r="F44" s="61">
        <f>F20*(1-LN(F41)-F43)</f>
        <v>-6.3866053501178188E-2</v>
      </c>
      <c r="H44" s="68" t="s">
        <v>104</v>
      </c>
      <c r="I44" s="61">
        <f>$B$20*(1-LN(I41)-I43)</f>
        <v>0.46597689521936952</v>
      </c>
      <c r="J44" s="61">
        <f>$C$20*(1-LN(J41)-J43)</f>
        <v>0.37916482494998621</v>
      </c>
      <c r="K44" s="61">
        <f>$D$20*(1-LN(K41)-K43)</f>
        <v>-3.4382033201234186</v>
      </c>
      <c r="L44" s="61">
        <f>$E$20*(1-LN(L41)-L43)</f>
        <v>-0.49042971962074605</v>
      </c>
      <c r="M44" s="61">
        <f>$F$20*(1-LN(M41)-M43)</f>
        <v>-0.29221437460736116</v>
      </c>
    </row>
    <row r="46" spans="1:13">
      <c r="A46" s="60" t="s">
        <v>105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DF73"/>
  <sheetViews>
    <sheetView showGridLines="0" tabSelected="1" topLeftCell="A7" zoomScale="125" zoomScaleNormal="125" zoomScalePageLayoutView="125" workbookViewId="0">
      <selection activeCell="D24" sqref="D24"/>
    </sheetView>
  </sheetViews>
  <sheetFormatPr baseColWidth="10" defaultColWidth="9.1640625" defaultRowHeight="16"/>
  <cols>
    <col min="1" max="2" width="9.1640625" style="32" customWidth="1"/>
    <col min="3" max="4" width="8" style="35" customWidth="1"/>
    <col min="5" max="5" width="7.33203125" style="35" customWidth="1"/>
    <col min="6" max="6" width="6.6640625" style="35" customWidth="1"/>
    <col min="7" max="7" width="7.6640625" style="35" customWidth="1"/>
    <col min="8" max="8" width="7.6640625" style="35" hidden="1" customWidth="1"/>
    <col min="9" max="9" width="8.83203125" style="36" hidden="1" customWidth="1"/>
    <col min="10" max="10" width="7.83203125" style="36" hidden="1" customWidth="1"/>
    <col min="11" max="12" width="7.6640625" style="36" hidden="1" customWidth="1"/>
    <col min="13" max="13" width="8.1640625" style="36" hidden="1" customWidth="1"/>
    <col min="14" max="17" width="6.6640625" style="36" hidden="1" customWidth="1"/>
    <col min="18" max="18" width="8.33203125" style="36" hidden="1" customWidth="1"/>
    <col min="19" max="23" width="6.6640625" style="36" hidden="1" customWidth="1"/>
    <col min="24" max="24" width="9" style="36" hidden="1" customWidth="1"/>
    <col min="25" max="25" width="6.6640625" style="36" hidden="1" customWidth="1"/>
    <col min="26" max="26" width="5.33203125" style="36" hidden="1" customWidth="1"/>
    <col min="27" max="28" width="6.6640625" style="32" hidden="1" customWidth="1"/>
    <col min="29" max="30" width="6.33203125" style="32" hidden="1" customWidth="1"/>
    <col min="31" max="31" width="5.33203125" style="36" hidden="1" customWidth="1"/>
    <col min="32" max="33" width="6.6640625" style="32" hidden="1" customWidth="1"/>
    <col min="34" max="34" width="7.1640625" style="32" hidden="1" customWidth="1"/>
    <col min="35" max="35" width="6.6640625" style="32" hidden="1" customWidth="1"/>
    <col min="36" max="36" width="7" style="36" hidden="1" customWidth="1"/>
    <col min="37" max="38" width="6.6640625" style="32" hidden="1" customWidth="1"/>
    <col min="39" max="40" width="6.33203125" style="32" hidden="1" customWidth="1"/>
    <col min="41" max="45" width="9.1640625" style="32" hidden="1" customWidth="1"/>
    <col min="46" max="16384" width="9.1640625" style="32"/>
  </cols>
  <sheetData>
    <row r="1" spans="1:46">
      <c r="A1" s="144" t="s">
        <v>106</v>
      </c>
      <c r="C1" s="144"/>
      <c r="D1" s="144"/>
    </row>
    <row r="2" spans="1:46">
      <c r="A2" s="144" t="s">
        <v>260</v>
      </c>
      <c r="C2" s="144"/>
      <c r="D2" s="144"/>
    </row>
    <row r="3" spans="1:46" s="144" customFormat="1" ht="13">
      <c r="A3" s="144" t="s">
        <v>261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E3" s="200"/>
      <c r="AJ3" s="200"/>
    </row>
    <row r="4" spans="1:46">
      <c r="A4" s="144"/>
      <c r="C4" s="144"/>
      <c r="D4" s="144"/>
    </row>
    <row r="5" spans="1:46">
      <c r="A5" s="144"/>
      <c r="C5" s="144"/>
      <c r="D5" s="144"/>
    </row>
    <row r="6" spans="1:46">
      <c r="C6" s="144"/>
      <c r="D6" s="144"/>
    </row>
    <row r="7" spans="1:46">
      <c r="B7" s="144"/>
      <c r="C7" s="144"/>
      <c r="D7" s="144"/>
    </row>
    <row r="8" spans="1:46" s="33" customFormat="1">
      <c r="B8" s="144"/>
      <c r="C8" s="144"/>
      <c r="D8" s="144"/>
      <c r="E8" s="201"/>
      <c r="F8" s="201"/>
      <c r="G8" s="201"/>
      <c r="H8" s="4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E8" s="34"/>
      <c r="AJ8" s="34"/>
      <c r="AO8" s="202"/>
      <c r="AT8" s="201"/>
    </row>
    <row r="9" spans="1:46">
      <c r="B9" s="203" t="s">
        <v>113</v>
      </c>
      <c r="C9" s="203">
        <f t="array" ref="C9">SUM(C21:G21*C22:G22*C16:G16)</f>
        <v>33.564655512133896</v>
      </c>
      <c r="D9" s="203" t="s">
        <v>114</v>
      </c>
      <c r="E9" s="201"/>
      <c r="F9" s="201"/>
      <c r="G9" s="201"/>
      <c r="H9" s="49"/>
      <c r="Y9" s="35"/>
      <c r="AO9" s="202"/>
      <c r="AT9" s="201"/>
    </row>
    <row r="10" spans="1:46">
      <c r="B10" s="203" t="s">
        <v>293</v>
      </c>
      <c r="C10" s="204">
        <v>25</v>
      </c>
      <c r="D10" s="205" t="s">
        <v>117</v>
      </c>
      <c r="E10" s="201"/>
      <c r="F10" s="201"/>
      <c r="G10" s="201"/>
      <c r="H10" s="49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7"/>
      <c r="AE10" s="37"/>
      <c r="AJ10" s="37"/>
      <c r="AO10" s="202"/>
      <c r="AT10" s="201"/>
    </row>
    <row r="11" spans="1:46" s="33" customFormat="1">
      <c r="A11" s="206" t="s">
        <v>294</v>
      </c>
      <c r="C11" s="144"/>
      <c r="D11" s="144"/>
      <c r="E11" s="32"/>
      <c r="F11" s="32"/>
      <c r="G11" s="32"/>
      <c r="H11" s="32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E11" s="34"/>
      <c r="AJ11" s="34"/>
      <c r="AT11" s="202"/>
    </row>
    <row r="12" spans="1:46" s="72" customFormat="1" ht="11">
      <c r="C12" s="36" t="s">
        <v>120</v>
      </c>
      <c r="D12" s="36" t="s">
        <v>121</v>
      </c>
      <c r="E12" s="36" t="s">
        <v>122</v>
      </c>
      <c r="F12" s="36" t="s">
        <v>123</v>
      </c>
      <c r="G12" s="36" t="s">
        <v>124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46" s="72" customFormat="1" ht="11">
      <c r="B13" s="35" t="s">
        <v>125</v>
      </c>
      <c r="C13" s="57">
        <v>8.8782899999999998</v>
      </c>
      <c r="D13" s="57">
        <v>8.0713100000000004</v>
      </c>
      <c r="E13" s="73"/>
      <c r="F13" s="57">
        <v>8.1121999999999996</v>
      </c>
      <c r="G13" s="73">
        <v>6.8763199999999998</v>
      </c>
      <c r="H13" s="74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E13" s="36"/>
      <c r="AJ13" s="36"/>
    </row>
    <row r="14" spans="1:46" s="72" customFormat="1" ht="11">
      <c r="B14" s="35" t="s">
        <v>126</v>
      </c>
      <c r="C14" s="57">
        <v>2010.33</v>
      </c>
      <c r="D14" s="57">
        <v>1730.63</v>
      </c>
      <c r="E14" s="207"/>
      <c r="F14" s="57">
        <v>1592.864</v>
      </c>
      <c r="G14" s="57">
        <v>1075.78</v>
      </c>
      <c r="H14" s="7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E14" s="36"/>
      <c r="AJ14" s="36"/>
    </row>
    <row r="15" spans="1:46" s="72" customFormat="1" ht="11">
      <c r="B15" s="35" t="s">
        <v>127</v>
      </c>
      <c r="C15" s="57">
        <v>252.636</v>
      </c>
      <c r="D15" s="57">
        <v>233.42599999999999</v>
      </c>
      <c r="E15" s="57"/>
      <c r="F15" s="57">
        <v>226.184</v>
      </c>
      <c r="G15" s="57">
        <v>233.20500000000001</v>
      </c>
      <c r="H15" s="7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E15" s="36"/>
      <c r="AJ15" s="36"/>
    </row>
    <row r="16" spans="1:46" s="35" customFormat="1" ht="13">
      <c r="B16" s="35" t="s">
        <v>128</v>
      </c>
      <c r="C16" s="57">
        <f>10^(C13-C14/(C15+T_))</f>
        <v>43.391658804256295</v>
      </c>
      <c r="D16" s="57">
        <f>10^(D13-D14/(D15+T_))</f>
        <v>23.686413553095228</v>
      </c>
      <c r="E16" s="57"/>
      <c r="F16" s="57">
        <f>10^(F13-F14/(F15+T_))</f>
        <v>58.989807564732196</v>
      </c>
      <c r="G16" s="57">
        <f>10^(G13-G14/(G15+T_))</f>
        <v>512.79121079825984</v>
      </c>
      <c r="H16" s="7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E16" s="36"/>
      <c r="AJ16" s="36"/>
    </row>
    <row r="17" spans="1:49" s="35" customFormat="1" ht="11">
      <c r="B17" s="35" t="s">
        <v>129</v>
      </c>
      <c r="C17" s="191">
        <f>C21*C22*C16/$C$9</f>
        <v>0.3181549173512539</v>
      </c>
      <c r="D17" s="191">
        <f>D21*D22*D16/$C$9</f>
        <v>0.68184508264874599</v>
      </c>
      <c r="E17" s="191">
        <f>E21*E22*E16/$C$9</f>
        <v>0</v>
      </c>
      <c r="F17" s="191">
        <f>F21*F22*F16/$C$9</f>
        <v>2.2518385752382684E-20</v>
      </c>
      <c r="G17" s="191">
        <f>G21*G22*G16/$C$9</f>
        <v>8.6448648774607529E-19</v>
      </c>
      <c r="H17" s="7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E17" s="36"/>
      <c r="AJ17" s="36"/>
    </row>
    <row r="18" spans="1:49" s="35" customFormat="1" ht="13">
      <c r="A18" s="206" t="s">
        <v>262</v>
      </c>
      <c r="C18" s="76"/>
      <c r="D18" s="76"/>
      <c r="E18" s="75"/>
      <c r="F18" s="75"/>
      <c r="G18" s="75"/>
      <c r="H18" s="7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E18" s="36"/>
      <c r="AJ18" s="36"/>
    </row>
    <row r="19" spans="1:49" s="35" customFormat="1" ht="11">
      <c r="C19" s="36" t="s">
        <v>120</v>
      </c>
      <c r="D19" s="36" t="s">
        <v>121</v>
      </c>
      <c r="E19" s="36" t="s">
        <v>122</v>
      </c>
      <c r="F19" s="36" t="s">
        <v>123</v>
      </c>
      <c r="G19" s="36" t="s">
        <v>124</v>
      </c>
      <c r="H19" s="36"/>
      <c r="I19" s="36"/>
      <c r="J19" s="208"/>
      <c r="K19" s="208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49" s="72" customFormat="1" ht="13">
      <c r="B20" s="35"/>
      <c r="C20" s="53" t="s">
        <v>351</v>
      </c>
      <c r="D20" s="53" t="s">
        <v>347</v>
      </c>
      <c r="E20" s="53" t="s">
        <v>263</v>
      </c>
      <c r="F20" s="54" t="s">
        <v>130</v>
      </c>
      <c r="G20" s="53" t="s">
        <v>131</v>
      </c>
      <c r="H20" s="78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9"/>
      <c r="AU20" s="202"/>
      <c r="AV20" s="144"/>
      <c r="AW20" s="144"/>
    </row>
    <row r="21" spans="1:49" s="72" customFormat="1" ht="15">
      <c r="B21" s="72" t="s">
        <v>295</v>
      </c>
      <c r="C21" s="55">
        <v>3.6799999999999999E-2</v>
      </c>
      <c r="D21" s="55">
        <v>0.96319999999999995</v>
      </c>
      <c r="E21" s="55">
        <v>9.9999999999999995E-21</v>
      </c>
      <c r="F21" s="55">
        <v>9.9999999999999995E-21</v>
      </c>
      <c r="G21" s="55">
        <v>9.9999999999999995E-21</v>
      </c>
      <c r="H21" s="79"/>
      <c r="I21" s="36"/>
      <c r="J21" s="202"/>
      <c r="K21" s="202"/>
      <c r="L21" s="36" t="s">
        <v>132</v>
      </c>
      <c r="M21" s="36"/>
      <c r="N21" s="202"/>
      <c r="O21" s="202"/>
      <c r="P21" s="202"/>
      <c r="Q21" s="202"/>
      <c r="R21" s="80" t="s">
        <v>133</v>
      </c>
      <c r="S21" s="36"/>
      <c r="T21" s="36"/>
      <c r="U21" s="36"/>
      <c r="V21" s="202"/>
      <c r="W21" s="35"/>
      <c r="X21" s="81" t="s">
        <v>134</v>
      </c>
      <c r="Y21" s="36"/>
      <c r="Z21" s="35"/>
      <c r="AA21" s="35"/>
      <c r="AB21" s="202"/>
      <c r="AC21" s="36"/>
      <c r="AD21" s="81" t="s">
        <v>135</v>
      </c>
      <c r="AE21" s="35"/>
      <c r="AF21" s="35"/>
      <c r="AG21" s="35"/>
      <c r="AH21" s="36"/>
      <c r="AI21" s="36"/>
      <c r="AJ21" s="81" t="s">
        <v>136</v>
      </c>
      <c r="AK21" s="35"/>
      <c r="AL21" s="35"/>
      <c r="AN21" s="202"/>
      <c r="AP21" s="72" t="s">
        <v>137</v>
      </c>
      <c r="AU21" s="210"/>
      <c r="AV21" s="210"/>
      <c r="AW21" s="210"/>
    </row>
    <row r="22" spans="1:49" s="72" customFormat="1" ht="13">
      <c r="A22" s="72" t="s">
        <v>264</v>
      </c>
      <c r="B22" s="82" t="s">
        <v>138</v>
      </c>
      <c r="C22" s="56">
        <f>EXP(C52-C51+C50)</f>
        <v>6.6875456964320703</v>
      </c>
      <c r="D22" s="56">
        <f>EXP(D52-D51+D50)</f>
        <v>1.0031182356320096</v>
      </c>
      <c r="E22" s="56">
        <f>EXP(E52-E51+E50)</f>
        <v>0.87451508208217454</v>
      </c>
      <c r="F22" s="56">
        <f>EXP(F52-F51+F50)</f>
        <v>1.2812753451325827</v>
      </c>
      <c r="G22" s="56">
        <f>EXP(G52-G51+G50)</f>
        <v>5.6584805950402703</v>
      </c>
      <c r="H22" s="82" t="s">
        <v>139</v>
      </c>
      <c r="I22" s="36"/>
      <c r="J22" s="208">
        <v>1</v>
      </c>
      <c r="K22" s="208">
        <v>2</v>
      </c>
      <c r="L22" s="208">
        <v>3</v>
      </c>
      <c r="M22" s="36">
        <v>4</v>
      </c>
      <c r="N22" s="208">
        <v>5</v>
      </c>
      <c r="O22" s="208" t="s">
        <v>140</v>
      </c>
      <c r="P22" s="208">
        <v>1</v>
      </c>
      <c r="Q22" s="208">
        <v>2</v>
      </c>
      <c r="R22" s="208">
        <v>3</v>
      </c>
      <c r="S22" s="36">
        <v>4</v>
      </c>
      <c r="T22" s="208">
        <v>5</v>
      </c>
      <c r="U22" s="208" t="s">
        <v>140</v>
      </c>
      <c r="V22" s="208">
        <v>1</v>
      </c>
      <c r="W22" s="208">
        <v>2</v>
      </c>
      <c r="X22" s="208">
        <v>3</v>
      </c>
      <c r="Y22" s="36">
        <v>4</v>
      </c>
      <c r="Z22" s="208">
        <v>5</v>
      </c>
      <c r="AA22" s="208" t="s">
        <v>140</v>
      </c>
      <c r="AB22" s="208">
        <v>1</v>
      </c>
      <c r="AC22" s="208">
        <v>2</v>
      </c>
      <c r="AD22" s="208">
        <v>3</v>
      </c>
      <c r="AE22" s="36">
        <v>4</v>
      </c>
      <c r="AF22" s="208">
        <v>5</v>
      </c>
      <c r="AG22" s="208" t="s">
        <v>140</v>
      </c>
      <c r="AH22" s="208">
        <v>1</v>
      </c>
      <c r="AI22" s="208">
        <v>2</v>
      </c>
      <c r="AJ22" s="208">
        <v>3</v>
      </c>
      <c r="AK22" s="36">
        <v>4</v>
      </c>
      <c r="AL22" s="208">
        <v>5</v>
      </c>
      <c r="AM22" s="208" t="s">
        <v>140</v>
      </c>
      <c r="AN22" s="208">
        <v>1</v>
      </c>
      <c r="AO22" s="208">
        <v>2</v>
      </c>
      <c r="AP22" s="208">
        <v>3</v>
      </c>
      <c r="AQ22" s="36">
        <v>4</v>
      </c>
      <c r="AR22" s="208">
        <v>5</v>
      </c>
      <c r="AS22" s="208" t="s">
        <v>140</v>
      </c>
      <c r="AU22" s="144"/>
      <c r="AV22" s="144"/>
      <c r="AW22" s="144"/>
    </row>
    <row r="23" spans="1:49" s="72" customFormat="1" ht="13">
      <c r="A23" s="211">
        <v>1</v>
      </c>
      <c r="B23" s="35" t="str">
        <f>'aij-UNIFAC (VLE)'!V10</f>
        <v>CH3</v>
      </c>
      <c r="C23" s="57"/>
      <c r="D23" s="57">
        <v>1</v>
      </c>
      <c r="E23" s="57">
        <v>1</v>
      </c>
      <c r="F23" s="57">
        <v>1</v>
      </c>
      <c r="G23" s="57">
        <v>2</v>
      </c>
      <c r="H23" s="83">
        <f t="array" ref="H23">SUM(C23:G23*$C$21:$G$21)</f>
        <v>0.96319999999999995</v>
      </c>
      <c r="I23" s="36" t="str">
        <f t="shared" ref="I23:I42" si="0">B23</f>
        <v>CH3</v>
      </c>
      <c r="J23" s="84">
        <f t="shared" ref="J23:J42" si="1">C23/C$44</f>
        <v>0</v>
      </c>
      <c r="K23" s="85">
        <f t="shared" ref="K23:K42" si="2">D23/D$44</f>
        <v>0.5</v>
      </c>
      <c r="L23" s="85">
        <f t="shared" ref="L23:L42" si="3">E23/E$44</f>
        <v>0.33333333333333331</v>
      </c>
      <c r="M23" s="85">
        <f t="shared" ref="M23:M42" si="4">F23/F$44</f>
        <v>0.33333333333333331</v>
      </c>
      <c r="N23" s="85">
        <f t="shared" ref="N23:N42" si="5">G23/G$44</f>
        <v>0.4</v>
      </c>
      <c r="O23" s="212">
        <f t="shared" ref="O23:O42" si="6">H23/$H$43</f>
        <v>0.41980474198047418</v>
      </c>
      <c r="P23" s="84">
        <f>J23*'aij-UNIFAC (VLE)'!$X10/J$43</f>
        <v>0</v>
      </c>
      <c r="Q23" s="85">
        <f>K23*'aij-UNIFAC (VLE)'!$X10/K$43</f>
        <v>0.37192982456140355</v>
      </c>
      <c r="R23" s="85">
        <f>L23*'aij-UNIFAC (VLE)'!$X10/L$43</f>
        <v>0.32465543644716688</v>
      </c>
      <c r="S23" s="85">
        <f>M23*'aij-UNIFAC (VLE)'!$X10/M$43</f>
        <v>0.32766615146831529</v>
      </c>
      <c r="T23" s="85">
        <f>N23*'aij-UNIFAC (VLE)'!$X10/N$43</f>
        <v>0.51145958986730999</v>
      </c>
      <c r="U23" s="87">
        <f>O23*'aij-UNIFAC (VLE)'!$X10/O$43</f>
        <v>0.34856612224832029</v>
      </c>
      <c r="V23" s="84">
        <f t="array" ref="V23:AA42">MMULT(TRANSPOSE(tau),P23:U42)</f>
        <v>1.0380009113747288</v>
      </c>
      <c r="W23" s="88">
        <v>0.96616614923005739</v>
      </c>
      <c r="X23" s="85">
        <v>0.69414789551785028</v>
      </c>
      <c r="Y23" s="85">
        <v>0.81073147016518665</v>
      </c>
      <c r="Z23" s="88">
        <v>1</v>
      </c>
      <c r="AA23" s="89">
        <v>0.97067862950898731</v>
      </c>
      <c r="AB23" s="213">
        <f t="shared" ref="AB23:AB42" si="7">P23/V23</f>
        <v>0</v>
      </c>
      <c r="AC23" s="214">
        <f t="shared" ref="AC23:AC42" si="8">Q23/W23</f>
        <v>0.38495431128258456</v>
      </c>
      <c r="AD23" s="214">
        <f t="shared" ref="AD23:AD42" si="9">R23/X23</f>
        <v>0.46770355214426812</v>
      </c>
      <c r="AE23" s="214">
        <f t="shared" ref="AE23:AE42" si="10">S23/Y23</f>
        <v>0.40416113537760323</v>
      </c>
      <c r="AF23" s="214">
        <f t="shared" ref="AF23:AF42" si="11">T23/Z23</f>
        <v>0.51145958986730999</v>
      </c>
      <c r="AG23" s="212">
        <f t="shared" ref="AG23:AG42" si="12">U23/AA23</f>
        <v>0.35909528823627301</v>
      </c>
      <c r="AH23" s="84">
        <f t="array" ref="AH23:AM42">MMULT(tau,AB23:AG42)</f>
        <v>0.81462204265395999</v>
      </c>
      <c r="AI23" s="85">
        <v>0.47621993043876898</v>
      </c>
      <c r="AJ23" s="88">
        <v>0.86177004640731925</v>
      </c>
      <c r="AK23" s="88">
        <v>0.69660671354206738</v>
      </c>
      <c r="AL23" s="88">
        <v>1</v>
      </c>
      <c r="AM23" s="89">
        <v>0.49835663654282081</v>
      </c>
      <c r="AN23" s="92">
        <f>'aij-UNIFAC (VLE)'!$X10*(1-LN(V23)-AH23)</f>
        <v>0.12557293781434883</v>
      </c>
      <c r="AO23" s="93">
        <f>'aij-UNIFAC (VLE)'!$X10*(1-LN(W23)-AI23)</f>
        <v>0.47335320312590579</v>
      </c>
      <c r="AP23" s="93">
        <f>'aij-UNIFAC (VLE)'!$X10*(1-LN(X23)-AJ23)</f>
        <v>0.42679856013492545</v>
      </c>
      <c r="AQ23" s="93">
        <f>'aij-UNIFAC (VLE)'!$X10*(1-LN(Y23)-AK23)</f>
        <v>0.43520350098588362</v>
      </c>
      <c r="AR23" s="93">
        <f>'aij-UNIFAC (VLE)'!$X10*(1-LN(Z23)-AL23)</f>
        <v>0</v>
      </c>
      <c r="AS23" s="94">
        <f>'aij-UNIFAC (VLE)'!$X10*(1-LN(AA23)-AM23)</f>
        <v>0.45062991148848608</v>
      </c>
      <c r="AU23" s="144"/>
      <c r="AV23" s="144"/>
      <c r="AW23" s="144"/>
    </row>
    <row r="24" spans="1:49" s="72" customFormat="1" ht="13">
      <c r="A24" s="211">
        <v>2</v>
      </c>
      <c r="B24" s="35" t="str">
        <f>'aij-UNIFAC (VLE)'!V11</f>
        <v>CH2</v>
      </c>
      <c r="C24" s="57"/>
      <c r="D24" s="57"/>
      <c r="E24" s="57">
        <v>1</v>
      </c>
      <c r="F24" s="57">
        <v>1</v>
      </c>
      <c r="G24" s="57">
        <v>3</v>
      </c>
      <c r="H24" s="83">
        <f t="array" ref="H24">SUM(C24:G24*$C$21:$G$21)</f>
        <v>4.9999999999999999E-20</v>
      </c>
      <c r="I24" s="36" t="str">
        <f t="shared" si="0"/>
        <v>CH2</v>
      </c>
      <c r="J24" s="95">
        <f t="shared" si="1"/>
        <v>0</v>
      </c>
      <c r="K24" s="96">
        <f t="shared" si="2"/>
        <v>0</v>
      </c>
      <c r="L24" s="96">
        <f t="shared" si="3"/>
        <v>0.33333333333333331</v>
      </c>
      <c r="M24" s="96">
        <f t="shared" si="4"/>
        <v>0.33333333333333331</v>
      </c>
      <c r="N24" s="96">
        <f t="shared" si="5"/>
        <v>0.6</v>
      </c>
      <c r="O24" s="215">
        <f t="shared" si="6"/>
        <v>2.1792189679218967E-20</v>
      </c>
      <c r="P24" s="95">
        <f>J24*'aij-UNIFAC (VLE)'!$X11/J$43</f>
        <v>0</v>
      </c>
      <c r="Q24" s="96">
        <f>K24*'aij-UNIFAC (VLE)'!$X11/K$43</f>
        <v>0</v>
      </c>
      <c r="R24" s="96">
        <f>L24*'aij-UNIFAC (VLE)'!$X11/L$43</f>
        <v>0.20673813169984687</v>
      </c>
      <c r="S24" s="96">
        <f>M24*'aij-UNIFAC (VLE)'!$X11/M$43</f>
        <v>0.20865533230293665</v>
      </c>
      <c r="T24" s="96">
        <f>N24*'aij-UNIFAC (VLE)'!$X11/N$43</f>
        <v>0.48854041013269001</v>
      </c>
      <c r="U24" s="98">
        <f>O24*'aij-UNIFAC (VLE)'!$X11/O$43</f>
        <v>1.152223193314033E-20</v>
      </c>
      <c r="V24" s="95">
        <v>1.0380009113747288</v>
      </c>
      <c r="W24" s="99">
        <v>0.96616614923005739</v>
      </c>
      <c r="X24" s="96">
        <v>0.69414789551785028</v>
      </c>
      <c r="Y24" s="96">
        <v>0.81073147016518665</v>
      </c>
      <c r="Z24" s="99">
        <v>1</v>
      </c>
      <c r="AA24" s="100">
        <v>0.97067862950898731</v>
      </c>
      <c r="AB24" s="216">
        <f t="shared" si="7"/>
        <v>0</v>
      </c>
      <c r="AC24" s="217">
        <f t="shared" si="8"/>
        <v>0</v>
      </c>
      <c r="AD24" s="217">
        <f t="shared" si="9"/>
        <v>0.29783009216734063</v>
      </c>
      <c r="AE24" s="217">
        <f t="shared" si="10"/>
        <v>0.25736676073573794</v>
      </c>
      <c r="AF24" s="217">
        <f t="shared" si="11"/>
        <v>0.48854041013269001</v>
      </c>
      <c r="AG24" s="215">
        <f t="shared" si="12"/>
        <v>1.1870284956174209E-20</v>
      </c>
      <c r="AH24" s="95">
        <v>0.81462204265395999</v>
      </c>
      <c r="AI24" s="96">
        <v>0.47621993043876898</v>
      </c>
      <c r="AJ24" s="99">
        <v>0.86177004640731925</v>
      </c>
      <c r="AK24" s="99">
        <v>0.69660671354206738</v>
      </c>
      <c r="AL24" s="99">
        <v>1</v>
      </c>
      <c r="AM24" s="100">
        <v>0.49835663654282081</v>
      </c>
      <c r="AN24" s="103">
        <f>'aij-UNIFAC (VLE)'!$X11*(1-LN(V24)-AH24)</f>
        <v>7.9963899079891959E-2</v>
      </c>
      <c r="AO24" s="104">
        <f>'aij-UNIFAC (VLE)'!$X11*(1-LN(W24)-AI24)</f>
        <v>0.30142774727357213</v>
      </c>
      <c r="AP24" s="104">
        <f>'aij-UNIFAC (VLE)'!$X11*(1-LN(X24)-AJ24)</f>
        <v>0.27178210197271196</v>
      </c>
      <c r="AQ24" s="104">
        <f>'aij-UNIFAC (VLE)'!$X11*(1-LN(Y24)-AK24)</f>
        <v>0.27713430487308632</v>
      </c>
      <c r="AR24" s="104">
        <f>'aij-UNIFAC (VLE)'!$X11*(1-LN(Z24)-AL24)</f>
        <v>0</v>
      </c>
      <c r="AS24" s="105">
        <f>'aij-UNIFAC (VLE)'!$X11*(1-LN(AA24)-AM24)</f>
        <v>0.28695772665540392</v>
      </c>
      <c r="AU24" s="144"/>
      <c r="AV24" s="144"/>
      <c r="AW24" s="144"/>
    </row>
    <row r="25" spans="1:49" s="72" customFormat="1" ht="11">
      <c r="A25" s="211">
        <v>3</v>
      </c>
      <c r="B25" s="35" t="str">
        <f>'aij-UNIFAC (VLE)'!V12</f>
        <v>CH</v>
      </c>
      <c r="C25" s="57"/>
      <c r="D25" s="57"/>
      <c r="E25" s="57"/>
      <c r="F25" s="57"/>
      <c r="G25" s="57"/>
      <c r="H25" s="83">
        <f t="array" ref="H25">SUM(C25:G25*$C$21:$G$21)</f>
        <v>0</v>
      </c>
      <c r="I25" s="36" t="str">
        <f t="shared" si="0"/>
        <v>CH</v>
      </c>
      <c r="J25" s="95">
        <f t="shared" si="1"/>
        <v>0</v>
      </c>
      <c r="K25" s="96">
        <f t="shared" si="2"/>
        <v>0</v>
      </c>
      <c r="L25" s="96">
        <f t="shared" si="3"/>
        <v>0</v>
      </c>
      <c r="M25" s="96">
        <f t="shared" si="4"/>
        <v>0</v>
      </c>
      <c r="N25" s="96">
        <f t="shared" si="5"/>
        <v>0</v>
      </c>
      <c r="O25" s="215">
        <f t="shared" si="6"/>
        <v>0</v>
      </c>
      <c r="P25" s="95">
        <f>J25*'aij-UNIFAC (VLE)'!$X12/J$43</f>
        <v>0</v>
      </c>
      <c r="Q25" s="96">
        <f>K25*'aij-UNIFAC (VLE)'!$X12/K$43</f>
        <v>0</v>
      </c>
      <c r="R25" s="96">
        <f>L25*'aij-UNIFAC (VLE)'!$X12/L$43</f>
        <v>0</v>
      </c>
      <c r="S25" s="96">
        <f>M25*'aij-UNIFAC (VLE)'!$X12/M$43</f>
        <v>0</v>
      </c>
      <c r="T25" s="96">
        <f>N25*'aij-UNIFAC (VLE)'!$X12/N$43</f>
        <v>0</v>
      </c>
      <c r="U25" s="98">
        <f>O25*'aij-UNIFAC (VLE)'!$X12/O$43</f>
        <v>0</v>
      </c>
      <c r="V25" s="95">
        <v>1.0380009113747288</v>
      </c>
      <c r="W25" s="99">
        <v>0.96616614923005739</v>
      </c>
      <c r="X25" s="99">
        <v>0.69414789551785028</v>
      </c>
      <c r="Y25" s="99">
        <v>0.81073147016518665</v>
      </c>
      <c r="Z25" s="99">
        <v>1</v>
      </c>
      <c r="AA25" s="100">
        <v>0.97067862950898731</v>
      </c>
      <c r="AB25" s="216">
        <f t="shared" si="7"/>
        <v>0</v>
      </c>
      <c r="AC25" s="217">
        <f t="shared" si="8"/>
        <v>0</v>
      </c>
      <c r="AD25" s="217">
        <f t="shared" si="9"/>
        <v>0</v>
      </c>
      <c r="AE25" s="217">
        <f t="shared" si="10"/>
        <v>0</v>
      </c>
      <c r="AF25" s="217">
        <f t="shared" si="11"/>
        <v>0</v>
      </c>
      <c r="AG25" s="215">
        <f t="shared" si="12"/>
        <v>0</v>
      </c>
      <c r="AH25" s="106">
        <v>0.81462204265395999</v>
      </c>
      <c r="AI25" s="99">
        <v>0.47621993043876898</v>
      </c>
      <c r="AJ25" s="99">
        <v>0.86177004640731925</v>
      </c>
      <c r="AK25" s="99">
        <v>0.69660671354206738</v>
      </c>
      <c r="AL25" s="99">
        <v>1</v>
      </c>
      <c r="AM25" s="100">
        <v>0.49835663654282081</v>
      </c>
      <c r="AN25" s="103">
        <f>'aij-UNIFAC (VLE)'!$X12*(1-LN(V25)-AH25)</f>
        <v>3.376253516706549E-2</v>
      </c>
      <c r="AO25" s="104">
        <f>'aij-UNIFAC (VLE)'!$X12*(1-LN(W25)-AI25)</f>
        <v>0.12726949329328599</v>
      </c>
      <c r="AP25" s="104">
        <f>'aij-UNIFAC (VLE)'!$X12*(1-LN(X25)-AJ25)</f>
        <v>0.11475244305514505</v>
      </c>
      <c r="AQ25" s="104">
        <f>'aij-UNIFAC (VLE)'!$X12*(1-LN(Y25)-AK25)</f>
        <v>0.11701226205752532</v>
      </c>
      <c r="AR25" s="104">
        <f>'aij-UNIFAC (VLE)'!$X12*(1-LN(Z25)-AL25)</f>
        <v>0</v>
      </c>
      <c r="AS25" s="105">
        <f>'aij-UNIFAC (VLE)'!$X12*(1-LN(AA25)-AM25)</f>
        <v>0.12115992903228165</v>
      </c>
    </row>
    <row r="26" spans="1:49" s="72" customFormat="1" ht="11">
      <c r="A26" s="211">
        <v>9</v>
      </c>
      <c r="B26" s="35" t="str">
        <f>'aij-UNIFAC (VLE)'!V13</f>
        <v>ACH</v>
      </c>
      <c r="C26" s="57">
        <v>10</v>
      </c>
      <c r="D26" s="57"/>
      <c r="E26" s="57"/>
      <c r="F26" s="57"/>
      <c r="G26" s="57"/>
      <c r="H26" s="83">
        <f t="array" ref="H26">SUM(C26:G26*$C$21:$G$21)</f>
        <v>0.36799999999999999</v>
      </c>
      <c r="I26" s="36" t="str">
        <f t="shared" si="0"/>
        <v>ACH</v>
      </c>
      <c r="J26" s="95">
        <f t="shared" si="1"/>
        <v>1</v>
      </c>
      <c r="K26" s="96">
        <f t="shared" si="2"/>
        <v>0</v>
      </c>
      <c r="L26" s="96">
        <f t="shared" si="3"/>
        <v>0</v>
      </c>
      <c r="M26" s="96">
        <f t="shared" si="4"/>
        <v>0</v>
      </c>
      <c r="N26" s="96">
        <f t="shared" si="5"/>
        <v>0</v>
      </c>
      <c r="O26" s="215">
        <f t="shared" si="6"/>
        <v>0.16039051603905161</v>
      </c>
      <c r="P26" s="95">
        <f>J26*'aij-UNIFAC (VLE)'!$X13/J$43</f>
        <v>1</v>
      </c>
      <c r="Q26" s="96">
        <f>K26*'aij-UNIFAC (VLE)'!$X13/K$43</f>
        <v>0</v>
      </c>
      <c r="R26" s="96">
        <f>L26*'aij-UNIFAC (VLE)'!$X13/L$43</f>
        <v>0</v>
      </c>
      <c r="S26" s="96">
        <f>M26*'aij-UNIFAC (VLE)'!$X13/M$43</f>
        <v>0</v>
      </c>
      <c r="T26" s="96">
        <f>N26*'aij-UNIFAC (VLE)'!$X13/N$43</f>
        <v>0</v>
      </c>
      <c r="U26" s="98">
        <f>O26*'aij-UNIFAC (VLE)'!$X13/O$43</f>
        <v>6.2817501502157647E-2</v>
      </c>
      <c r="V26" s="95">
        <v>1</v>
      </c>
      <c r="W26" s="96">
        <v>1.0457271915978099</v>
      </c>
      <c r="X26" s="96">
        <v>0.81310145961048286</v>
      </c>
      <c r="Y26" s="99">
        <v>0.78022226540407535</v>
      </c>
      <c r="Z26" s="99">
        <v>0.81462204265395999</v>
      </c>
      <c r="AA26" s="100">
        <v>1.0428547236709247</v>
      </c>
      <c r="AB26" s="216">
        <f t="shared" si="7"/>
        <v>1</v>
      </c>
      <c r="AC26" s="217">
        <f t="shared" si="8"/>
        <v>0</v>
      </c>
      <c r="AD26" s="217">
        <f t="shared" si="9"/>
        <v>0</v>
      </c>
      <c r="AE26" s="217">
        <f t="shared" si="10"/>
        <v>0</v>
      </c>
      <c r="AF26" s="217">
        <f t="shared" si="11"/>
        <v>0</v>
      </c>
      <c r="AG26" s="215">
        <f t="shared" si="12"/>
        <v>6.0236100078288432E-2</v>
      </c>
      <c r="AH26" s="95">
        <v>1</v>
      </c>
      <c r="AI26" s="99">
        <v>0.51115599801341094</v>
      </c>
      <c r="AJ26" s="99">
        <v>0.94152419087402739</v>
      </c>
      <c r="AK26" s="99">
        <v>0.80028488520762786</v>
      </c>
      <c r="AL26" s="99">
        <v>1.0380009113747288</v>
      </c>
      <c r="AM26" s="100">
        <v>0.54323752435586725</v>
      </c>
      <c r="AN26" s="103">
        <f>'aij-UNIFAC (VLE)'!$X13*(1-LN(V26)-AH26)</f>
        <v>0</v>
      </c>
      <c r="AO26" s="104">
        <f>'aij-UNIFAC (VLE)'!$X13*(1-LN(W26)-AI26)</f>
        <v>0.17765259258117819</v>
      </c>
      <c r="AP26" s="104">
        <f>'aij-UNIFAC (VLE)'!$X13*(1-LN(X26)-AJ26)</f>
        <v>0.10615007591115339</v>
      </c>
      <c r="AQ26" s="104">
        <f>'aij-UNIFAC (VLE)'!$X13*(1-LN(Y26)-AK26)</f>
        <v>0.1791566236147081</v>
      </c>
      <c r="AR26" s="104">
        <f>'aij-UNIFAC (VLE)'!$X13*(1-LN(Z26)-AL26)</f>
        <v>6.6812045310916807E-2</v>
      </c>
      <c r="AS26" s="105">
        <f>'aij-UNIFAC (VLE)'!$X13*(1-LN(AA26)-AM26)</f>
        <v>0.16592023852615911</v>
      </c>
    </row>
    <row r="27" spans="1:49" s="72" customFormat="1" ht="11">
      <c r="A27" s="211">
        <v>10</v>
      </c>
      <c r="B27" s="35" t="str">
        <f>'aij-UNIFAC (VLE)'!V14</f>
        <v>AC</v>
      </c>
      <c r="C27" s="57"/>
      <c r="D27" s="57"/>
      <c r="E27" s="57"/>
      <c r="F27" s="57"/>
      <c r="G27" s="57"/>
      <c r="H27" s="83">
        <f t="array" ref="H27">SUM(C27:G27*$C$21:$G$21)</f>
        <v>0</v>
      </c>
      <c r="I27" s="36" t="str">
        <f t="shared" si="0"/>
        <v>AC</v>
      </c>
      <c r="J27" s="95">
        <f t="shared" si="1"/>
        <v>0</v>
      </c>
      <c r="K27" s="96">
        <f t="shared" si="2"/>
        <v>0</v>
      </c>
      <c r="L27" s="96">
        <f t="shared" si="3"/>
        <v>0</v>
      </c>
      <c r="M27" s="96">
        <f t="shared" si="4"/>
        <v>0</v>
      </c>
      <c r="N27" s="96">
        <f t="shared" si="5"/>
        <v>0</v>
      </c>
      <c r="O27" s="215">
        <f t="shared" si="6"/>
        <v>0</v>
      </c>
      <c r="P27" s="95">
        <f>J27*'aij-UNIFAC (VLE)'!$X14/J$43</f>
        <v>0</v>
      </c>
      <c r="Q27" s="96">
        <f>K27*'aij-UNIFAC (VLE)'!$X14/K$43</f>
        <v>0</v>
      </c>
      <c r="R27" s="96">
        <f>L27*'aij-UNIFAC (VLE)'!$X14/L$43</f>
        <v>0</v>
      </c>
      <c r="S27" s="96">
        <f>M27*'aij-UNIFAC (VLE)'!$X14/M$43</f>
        <v>0</v>
      </c>
      <c r="T27" s="96">
        <f>N27*'aij-UNIFAC (VLE)'!$X14/N$43</f>
        <v>0</v>
      </c>
      <c r="U27" s="98">
        <f>O27*'aij-UNIFAC (VLE)'!$X14/O$43</f>
        <v>0</v>
      </c>
      <c r="V27" s="95">
        <v>1</v>
      </c>
      <c r="W27" s="96">
        <v>1.0457271915978099</v>
      </c>
      <c r="X27" s="96">
        <v>0.81310145961048286</v>
      </c>
      <c r="Y27" s="99">
        <v>0.78022226540407535</v>
      </c>
      <c r="Z27" s="99">
        <v>0.81462204265395999</v>
      </c>
      <c r="AA27" s="100">
        <v>1.0428547236709247</v>
      </c>
      <c r="AB27" s="216">
        <f t="shared" si="7"/>
        <v>0</v>
      </c>
      <c r="AC27" s="217">
        <f t="shared" si="8"/>
        <v>0</v>
      </c>
      <c r="AD27" s="217">
        <f t="shared" si="9"/>
        <v>0</v>
      </c>
      <c r="AE27" s="217">
        <f t="shared" si="10"/>
        <v>0</v>
      </c>
      <c r="AF27" s="217">
        <f t="shared" si="11"/>
        <v>0</v>
      </c>
      <c r="AG27" s="215">
        <f t="shared" si="12"/>
        <v>0</v>
      </c>
      <c r="AH27" s="95">
        <v>1</v>
      </c>
      <c r="AI27" s="99">
        <v>0.51115599801341094</v>
      </c>
      <c r="AJ27" s="99">
        <v>0.94152419087402739</v>
      </c>
      <c r="AK27" s="99">
        <v>0.80028488520762786</v>
      </c>
      <c r="AL27" s="99">
        <v>1.0380009113747288</v>
      </c>
      <c r="AM27" s="100">
        <v>0.54323752435586725</v>
      </c>
      <c r="AN27" s="103">
        <f>'aij-UNIFAC (VLE)'!$X14*(1-LN(V27)-AH27)</f>
        <v>0</v>
      </c>
      <c r="AO27" s="104">
        <f>'aij-UNIFAC (VLE)'!$X14*(1-LN(W27)-AI27)</f>
        <v>5.3295777774353452E-2</v>
      </c>
      <c r="AP27" s="104">
        <f>'aij-UNIFAC (VLE)'!$X14*(1-LN(X27)-AJ27)</f>
        <v>3.1845022773346013E-2</v>
      </c>
      <c r="AQ27" s="104">
        <f>'aij-UNIFAC (VLE)'!$X14*(1-LN(Y27)-AK27)</f>
        <v>5.3746987084412425E-2</v>
      </c>
      <c r="AR27" s="104">
        <f>'aij-UNIFAC (VLE)'!$X14*(1-LN(Z27)-AL27)</f>
        <v>2.0043613593275039E-2</v>
      </c>
      <c r="AS27" s="105">
        <f>'aij-UNIFAC (VLE)'!$X14*(1-LN(AA27)-AM27)</f>
        <v>4.9776071557847731E-2</v>
      </c>
    </row>
    <row r="28" spans="1:49" s="72" customFormat="1" ht="11">
      <c r="A28" s="211">
        <v>11</v>
      </c>
      <c r="B28" s="35" t="str">
        <f>'aij-UNIFAC (VLE)'!V15</f>
        <v>ACCH3</v>
      </c>
      <c r="C28" s="57"/>
      <c r="D28" s="57"/>
      <c r="E28" s="57"/>
      <c r="F28" s="57"/>
      <c r="G28" s="57"/>
      <c r="H28" s="83">
        <f t="array" ref="H28">SUM(C28:G28*$C$21:$G$21)</f>
        <v>0</v>
      </c>
      <c r="I28" s="36" t="str">
        <f t="shared" si="0"/>
        <v>ACCH3</v>
      </c>
      <c r="J28" s="95">
        <f t="shared" si="1"/>
        <v>0</v>
      </c>
      <c r="K28" s="96">
        <f t="shared" si="2"/>
        <v>0</v>
      </c>
      <c r="L28" s="96">
        <f t="shared" si="3"/>
        <v>0</v>
      </c>
      <c r="M28" s="96">
        <f t="shared" si="4"/>
        <v>0</v>
      </c>
      <c r="N28" s="96">
        <f t="shared" si="5"/>
        <v>0</v>
      </c>
      <c r="O28" s="215">
        <f t="shared" si="6"/>
        <v>0</v>
      </c>
      <c r="P28" s="95">
        <f>J28*'aij-UNIFAC (VLE)'!$X15/J$43</f>
        <v>0</v>
      </c>
      <c r="Q28" s="96">
        <f>K28*'aij-UNIFAC (VLE)'!$X15/K$43</f>
        <v>0</v>
      </c>
      <c r="R28" s="96">
        <f>L28*'aij-UNIFAC (VLE)'!$X15/L$43</f>
        <v>0</v>
      </c>
      <c r="S28" s="96">
        <f>M28*'aij-UNIFAC (VLE)'!$X15/M$43</f>
        <v>0</v>
      </c>
      <c r="T28" s="96">
        <f>N28*'aij-UNIFAC (VLE)'!$X15/N$43</f>
        <v>0</v>
      </c>
      <c r="U28" s="98">
        <f>O28*'aij-UNIFAC (VLE)'!$X15/O$43</f>
        <v>0</v>
      </c>
      <c r="V28" s="95">
        <v>0.5711400976073886</v>
      </c>
      <c r="W28" s="96">
        <v>1.0169279656898753</v>
      </c>
      <c r="X28" s="96">
        <v>0.75768766549455413</v>
      </c>
      <c r="Y28" s="99">
        <v>0.84016052039525224</v>
      </c>
      <c r="Z28" s="99">
        <v>0.77369135021671831</v>
      </c>
      <c r="AA28" s="100">
        <v>0.98892468561695979</v>
      </c>
      <c r="AB28" s="216">
        <f t="shared" si="7"/>
        <v>0</v>
      </c>
      <c r="AC28" s="217">
        <f t="shared" si="8"/>
        <v>0</v>
      </c>
      <c r="AD28" s="217">
        <f t="shared" si="9"/>
        <v>0</v>
      </c>
      <c r="AE28" s="217">
        <f t="shared" si="10"/>
        <v>0</v>
      </c>
      <c r="AF28" s="217">
        <f t="shared" si="11"/>
        <v>0</v>
      </c>
      <c r="AG28" s="215">
        <f t="shared" si="12"/>
        <v>0</v>
      </c>
      <c r="AH28" s="95">
        <v>1.6361887634574031</v>
      </c>
      <c r="AI28" s="99">
        <v>0.61142820911585782</v>
      </c>
      <c r="AJ28" s="99">
        <v>1.0149190465993372</v>
      </c>
      <c r="AK28" s="99">
        <v>0.90061819300939439</v>
      </c>
      <c r="AL28" s="99">
        <v>1.2633601353240085</v>
      </c>
      <c r="AM28" s="100">
        <v>0.67584461514333039</v>
      </c>
      <c r="AN28" s="103">
        <f>'aij-UNIFAC (VLE)'!$X15*(1-LN(V28)-AH28)</f>
        <v>-7.3633842262050178E-2</v>
      </c>
      <c r="AO28" s="104">
        <f>'aij-UNIFAC (VLE)'!$X15*(1-LN(W28)-AI28)</f>
        <v>0.35988837031433707</v>
      </c>
      <c r="AP28" s="104">
        <f>'aij-UNIFAC (VLE)'!$X15*(1-LN(X28)-AJ28)</f>
        <v>0.25416290301685357</v>
      </c>
      <c r="AQ28" s="104">
        <f>'aij-UNIFAC (VLE)'!$X15*(1-LN(Y28)-AK28)</f>
        <v>0.2647907049493462</v>
      </c>
      <c r="AR28" s="104">
        <f>'aij-UNIFAC (VLE)'!$X15*(1-LN(Z28)-AL28)</f>
        <v>-6.5609859726776486E-3</v>
      </c>
      <c r="AS28" s="105">
        <f>'aij-UNIFAC (VLE)'!$X15*(1-LN(AA28)-AM28)</f>
        <v>0.3245631275819752</v>
      </c>
    </row>
    <row r="29" spans="1:49" s="72" customFormat="1" ht="11">
      <c r="A29" s="211">
        <v>12</v>
      </c>
      <c r="B29" s="35" t="str">
        <f>'aij-UNIFAC (VLE)'!V16</f>
        <v>ACCH2</v>
      </c>
      <c r="C29" s="57"/>
      <c r="D29" s="57"/>
      <c r="E29" s="57"/>
      <c r="F29" s="57"/>
      <c r="G29" s="57"/>
      <c r="H29" s="83">
        <f t="array" ref="H29">SUM(C29:G29*$C$21:$G$21)</f>
        <v>0</v>
      </c>
      <c r="I29" s="36" t="str">
        <f t="shared" si="0"/>
        <v>ACCH2</v>
      </c>
      <c r="J29" s="95">
        <f t="shared" si="1"/>
        <v>0</v>
      </c>
      <c r="K29" s="96">
        <f t="shared" si="2"/>
        <v>0</v>
      </c>
      <c r="L29" s="96">
        <f t="shared" si="3"/>
        <v>0</v>
      </c>
      <c r="M29" s="96">
        <f t="shared" si="4"/>
        <v>0</v>
      </c>
      <c r="N29" s="96">
        <f t="shared" si="5"/>
        <v>0</v>
      </c>
      <c r="O29" s="215">
        <f t="shared" si="6"/>
        <v>0</v>
      </c>
      <c r="P29" s="95">
        <f>J29*'aij-UNIFAC (VLE)'!$X16/J$43</f>
        <v>0</v>
      </c>
      <c r="Q29" s="96">
        <f>K29*'aij-UNIFAC (VLE)'!$X16/K$43</f>
        <v>0</v>
      </c>
      <c r="R29" s="96">
        <f>L29*'aij-UNIFAC (VLE)'!$X16/L$43</f>
        <v>0</v>
      </c>
      <c r="S29" s="96">
        <f>M29*'aij-UNIFAC (VLE)'!$X16/M$43</f>
        <v>0</v>
      </c>
      <c r="T29" s="96">
        <f>N29*'aij-UNIFAC (VLE)'!$X16/N$43</f>
        <v>0</v>
      </c>
      <c r="U29" s="98">
        <f>O29*'aij-UNIFAC (VLE)'!$X16/O$43</f>
        <v>0</v>
      </c>
      <c r="V29" s="95">
        <v>0.5711400976073886</v>
      </c>
      <c r="W29" s="96">
        <v>1.0169279656898753</v>
      </c>
      <c r="X29" s="96">
        <v>0.75768766549455413</v>
      </c>
      <c r="Y29" s="99">
        <v>0.84016052039525224</v>
      </c>
      <c r="Z29" s="99">
        <v>0.77369135021671831</v>
      </c>
      <c r="AA29" s="100">
        <v>0.98892468561695979</v>
      </c>
      <c r="AB29" s="216">
        <f t="shared" si="7"/>
        <v>0</v>
      </c>
      <c r="AC29" s="217">
        <f t="shared" si="8"/>
        <v>0</v>
      </c>
      <c r="AD29" s="217">
        <f t="shared" si="9"/>
        <v>0</v>
      </c>
      <c r="AE29" s="217">
        <f t="shared" si="10"/>
        <v>0</v>
      </c>
      <c r="AF29" s="217">
        <f t="shared" si="11"/>
        <v>0</v>
      </c>
      <c r="AG29" s="215">
        <f t="shared" si="12"/>
        <v>0</v>
      </c>
      <c r="AH29" s="95">
        <v>1.6361887634574031</v>
      </c>
      <c r="AI29" s="99">
        <v>0.61142820911585782</v>
      </c>
      <c r="AJ29" s="99">
        <v>1.0149190465993372</v>
      </c>
      <c r="AK29" s="99">
        <v>0.90061819300939439</v>
      </c>
      <c r="AL29" s="99">
        <v>1.2633601353240085</v>
      </c>
      <c r="AM29" s="100">
        <v>0.67584461514333039</v>
      </c>
      <c r="AN29" s="103">
        <f>'aij-UNIFAC (VLE)'!$X16*(1-LN(V29)-AH29)</f>
        <v>-5.0204892451397851E-2</v>
      </c>
      <c r="AO29" s="104">
        <f>'aij-UNIFAC (VLE)'!$X16*(1-LN(W29)-AI29)</f>
        <v>0.24537843430522985</v>
      </c>
      <c r="AP29" s="104">
        <f>'aij-UNIFAC (VLE)'!$X16*(1-LN(X29)-AJ29)</f>
        <v>0.17329288842058199</v>
      </c>
      <c r="AQ29" s="104">
        <f>'aij-UNIFAC (VLE)'!$X16*(1-LN(Y29)-AK29)</f>
        <v>0.18053911701091788</v>
      </c>
      <c r="AR29" s="104">
        <f>'aij-UNIFAC (VLE)'!$X16*(1-LN(Z29)-AL29)</f>
        <v>-4.4733995268256702E-3</v>
      </c>
      <c r="AS29" s="105">
        <f>'aij-UNIFAC (VLE)'!$X16*(1-LN(AA29)-AM29)</f>
        <v>0.22129304153316492</v>
      </c>
    </row>
    <row r="30" spans="1:49" s="72" customFormat="1" ht="11">
      <c r="A30" s="211">
        <v>14</v>
      </c>
      <c r="B30" s="35" t="str">
        <f>'aij-UNIFAC (VLE)'!V17</f>
        <v>OH</v>
      </c>
      <c r="C30" s="57"/>
      <c r="D30" s="57"/>
      <c r="E30" s="57"/>
      <c r="F30" s="57">
        <v>1</v>
      </c>
      <c r="G30" s="57"/>
      <c r="H30" s="83">
        <f t="array" ref="H30">SUM(C30:G30*$C$21:$G$21)</f>
        <v>9.9999999999999995E-21</v>
      </c>
      <c r="I30" s="36" t="str">
        <f t="shared" si="0"/>
        <v>OH</v>
      </c>
      <c r="J30" s="95">
        <f t="shared" si="1"/>
        <v>0</v>
      </c>
      <c r="K30" s="96">
        <f t="shared" si="2"/>
        <v>0</v>
      </c>
      <c r="L30" s="96">
        <f t="shared" si="3"/>
        <v>0</v>
      </c>
      <c r="M30" s="96">
        <f t="shared" si="4"/>
        <v>0.33333333333333331</v>
      </c>
      <c r="N30" s="96">
        <f t="shared" si="5"/>
        <v>0</v>
      </c>
      <c r="O30" s="215">
        <f t="shared" si="6"/>
        <v>4.3584379358437932E-21</v>
      </c>
      <c r="P30" s="95">
        <f>J30*'aij-UNIFAC (VLE)'!$X17/J$43</f>
        <v>0</v>
      </c>
      <c r="Q30" s="96">
        <f>K30*'aij-UNIFAC (VLE)'!$X17/K$43</f>
        <v>0</v>
      </c>
      <c r="R30" s="96">
        <f>L30*'aij-UNIFAC (VLE)'!$X17/L$43</f>
        <v>0</v>
      </c>
      <c r="S30" s="96">
        <f>M30*'aij-UNIFAC (VLE)'!$X17/M$43</f>
        <v>0.46367851622874806</v>
      </c>
      <c r="T30" s="96">
        <f>N30*'aij-UNIFAC (VLE)'!$X17/N$43</f>
        <v>0</v>
      </c>
      <c r="U30" s="98">
        <f>O30*'aij-UNIFAC (VLE)'!$X17/O$43</f>
        <v>5.12099197028459E-21</v>
      </c>
      <c r="V30" s="95">
        <v>0.11842329185865</v>
      </c>
      <c r="W30" s="96">
        <v>0.28596997035895899</v>
      </c>
      <c r="X30" s="96">
        <v>0.79703479563269386</v>
      </c>
      <c r="Y30" s="99">
        <v>0.48328767127965305</v>
      </c>
      <c r="Z30" s="99">
        <v>3.6562315037278185E-2</v>
      </c>
      <c r="AA30" s="100">
        <v>0.2754451066305843</v>
      </c>
      <c r="AB30" s="216">
        <f t="shared" si="7"/>
        <v>0</v>
      </c>
      <c r="AC30" s="217">
        <f t="shared" si="8"/>
        <v>0</v>
      </c>
      <c r="AD30" s="217">
        <f t="shared" si="9"/>
        <v>0</v>
      </c>
      <c r="AE30" s="217">
        <f t="shared" si="10"/>
        <v>0.95942550117410674</v>
      </c>
      <c r="AF30" s="217">
        <f t="shared" si="11"/>
        <v>0</v>
      </c>
      <c r="AG30" s="215">
        <f t="shared" si="12"/>
        <v>1.8591697027867896E-20</v>
      </c>
      <c r="AH30" s="95">
        <v>0.74043318971837557</v>
      </c>
      <c r="AI30" s="99">
        <v>1.7260357148840073</v>
      </c>
      <c r="AJ30" s="99">
        <v>0.91008080619852705</v>
      </c>
      <c r="AK30" s="99">
        <v>1.3509249013363422</v>
      </c>
      <c r="AL30" s="99">
        <v>0.5918108706562526</v>
      </c>
      <c r="AM30" s="100">
        <v>1.7377033165896147</v>
      </c>
      <c r="AN30" s="103">
        <f>'aij-UNIFAC (VLE)'!$X17*(1-LN(V30)-AH30)</f>
        <v>2.8716679972582915</v>
      </c>
      <c r="AO30" s="104">
        <f>'aij-UNIFAC (VLE)'!$X17*(1-LN(W30)-AI30)</f>
        <v>0.63099930904311552</v>
      </c>
      <c r="AP30" s="104">
        <f>'aij-UNIFAC (VLE)'!$X17*(1-LN(X30)-AJ30)</f>
        <v>0.38013136402445902</v>
      </c>
      <c r="AQ30" s="104">
        <f>'aij-UNIFAC (VLE)'!$X17*(1-LN(Y30)-AK30)</f>
        <v>0.45146197029200469</v>
      </c>
      <c r="AR30" s="104">
        <f>'aij-UNIFAC (VLE)'!$X17*(1-LN(Z30)-AL30)</f>
        <v>4.4603116105873077</v>
      </c>
      <c r="AS30" s="105">
        <f>'aij-UNIFAC (VLE)'!$X17*(1-LN(AA30)-AM30)</f>
        <v>0.66199632435863764</v>
      </c>
    </row>
    <row r="31" spans="1:49" s="72" customFormat="1" ht="11">
      <c r="A31" s="211">
        <v>15</v>
      </c>
      <c r="B31" s="35" t="str">
        <f>'aij-UNIFAC (VLE)'!V18</f>
        <v>CH3OH</v>
      </c>
      <c r="C31" s="57"/>
      <c r="D31" s="57">
        <v>1</v>
      </c>
      <c r="E31" s="57"/>
      <c r="F31" s="57"/>
      <c r="G31" s="57"/>
      <c r="H31" s="83">
        <f t="array" ref="H31">SUM(C31:G31*$C$21:$G$21)</f>
        <v>0.96319999999999995</v>
      </c>
      <c r="I31" s="36" t="str">
        <f t="shared" si="0"/>
        <v>CH3OH</v>
      </c>
      <c r="J31" s="95">
        <f t="shared" si="1"/>
        <v>0</v>
      </c>
      <c r="K31" s="96">
        <f t="shared" si="2"/>
        <v>0.5</v>
      </c>
      <c r="L31" s="96">
        <f t="shared" si="3"/>
        <v>0</v>
      </c>
      <c r="M31" s="96">
        <f t="shared" si="4"/>
        <v>0</v>
      </c>
      <c r="N31" s="96">
        <f t="shared" si="5"/>
        <v>0</v>
      </c>
      <c r="O31" s="215">
        <f t="shared" si="6"/>
        <v>0.41980474198047418</v>
      </c>
      <c r="P31" s="95">
        <f>J31*'aij-UNIFAC (VLE)'!$X18/J$43</f>
        <v>0</v>
      </c>
      <c r="Q31" s="96">
        <f>K31*'aij-UNIFAC (VLE)'!$X18/K$43</f>
        <v>0.62807017543859656</v>
      </c>
      <c r="R31" s="96">
        <f>L31*'aij-UNIFAC (VLE)'!$X18/L$43</f>
        <v>0</v>
      </c>
      <c r="S31" s="96">
        <f>M31*'aij-UNIFAC (VLE)'!$X18/M$43</f>
        <v>0</v>
      </c>
      <c r="T31" s="96">
        <f>N31*'aij-UNIFAC (VLE)'!$X18/N$43</f>
        <v>0</v>
      </c>
      <c r="U31" s="98">
        <f>O31*'aij-UNIFAC (VLE)'!$X18/O$43</f>
        <v>0.58861637624952201</v>
      </c>
      <c r="V31" s="95">
        <v>0.11794761735227337</v>
      </c>
      <c r="W31" s="96">
        <v>0.66395393935384539</v>
      </c>
      <c r="X31" s="96">
        <v>0.20118381498930404</v>
      </c>
      <c r="Y31" s="99">
        <v>0.78612463187156723</v>
      </c>
      <c r="Z31" s="99">
        <v>9.6479931281565207E-2</v>
      </c>
      <c r="AA31" s="100">
        <v>0.62965518640132401</v>
      </c>
      <c r="AB31" s="216">
        <f t="shared" si="7"/>
        <v>0</v>
      </c>
      <c r="AC31" s="217">
        <f t="shared" si="8"/>
        <v>0.94595443781812538</v>
      </c>
      <c r="AD31" s="217">
        <f t="shared" si="9"/>
        <v>0</v>
      </c>
      <c r="AE31" s="217">
        <f t="shared" si="10"/>
        <v>0</v>
      </c>
      <c r="AF31" s="217">
        <f t="shared" si="11"/>
        <v>0</v>
      </c>
      <c r="AG31" s="215">
        <f t="shared" si="12"/>
        <v>0.9348233588190521</v>
      </c>
      <c r="AH31" s="95">
        <v>1.1825827546595307</v>
      </c>
      <c r="AI31" s="99">
        <v>1.310171437840729</v>
      </c>
      <c r="AJ31" s="99">
        <v>2.4783907121321302</v>
      </c>
      <c r="AK31" s="99">
        <v>1.0419598875483618</v>
      </c>
      <c r="AL31" s="99">
        <v>0.94613046106461629</v>
      </c>
      <c r="AM31" s="100">
        <v>1.3458085226046979</v>
      </c>
      <c r="AN31" s="103">
        <f>'aij-UNIFAC (VLE)'!$X18*(1-LN(V31)-AH31)</f>
        <v>2.7994625082405151</v>
      </c>
      <c r="AO31" s="104">
        <f>'aij-UNIFAC (VLE)'!$X18*(1-LN(W31)-AI31)</f>
        <v>0.14229936152016226</v>
      </c>
      <c r="AP31" s="104">
        <f>'aij-UNIFAC (VLE)'!$X18*(1-LN(X31)-AJ31)</f>
        <v>0.1792084623391331</v>
      </c>
      <c r="AQ31" s="104">
        <f>'aij-UNIFAC (VLE)'!$X18*(1-LN(Y31)-AK31)</f>
        <v>0.28450982709282269</v>
      </c>
      <c r="AR31" s="104">
        <f>'aij-UNIFAC (VLE)'!$X18*(1-LN(Z31)-AL31)</f>
        <v>3.4257589895827376</v>
      </c>
      <c r="AS31" s="105">
        <f>'aij-UNIFAC (VLE)'!$X18*(1-LN(AA31)-AM31)</f>
        <v>0.16722095512052257</v>
      </c>
    </row>
    <row r="32" spans="1:49" s="72" customFormat="1" ht="13">
      <c r="A32" s="211">
        <v>16</v>
      </c>
      <c r="B32" s="35" t="str">
        <f>'aij-UNIFAC (VLE)'!V19</f>
        <v>H2O</v>
      </c>
      <c r="C32" s="57"/>
      <c r="D32" s="57"/>
      <c r="E32" s="57"/>
      <c r="F32" s="57"/>
      <c r="G32" s="57"/>
      <c r="H32" s="83">
        <f t="array" ref="H32">SUM(C32:G32*$C$21:$G$21)</f>
        <v>0</v>
      </c>
      <c r="I32" s="36" t="str">
        <f t="shared" si="0"/>
        <v>H2O</v>
      </c>
      <c r="J32" s="95">
        <f t="shared" si="1"/>
        <v>0</v>
      </c>
      <c r="K32" s="96">
        <f t="shared" si="2"/>
        <v>0</v>
      </c>
      <c r="L32" s="96">
        <f t="shared" si="3"/>
        <v>0</v>
      </c>
      <c r="M32" s="96">
        <f t="shared" si="4"/>
        <v>0</v>
      </c>
      <c r="N32" s="96">
        <f t="shared" si="5"/>
        <v>0</v>
      </c>
      <c r="O32" s="215">
        <f t="shared" si="6"/>
        <v>0</v>
      </c>
      <c r="P32" s="95">
        <f>J32*'aij-UNIFAC (VLE)'!$X19/J$43</f>
        <v>0</v>
      </c>
      <c r="Q32" s="96">
        <f>K32*'aij-UNIFAC (VLE)'!$X19/K$43</f>
        <v>0</v>
      </c>
      <c r="R32" s="96">
        <f>L32*'aij-UNIFAC (VLE)'!$X19/L$43</f>
        <v>0</v>
      </c>
      <c r="S32" s="96">
        <f>M32*'aij-UNIFAC (VLE)'!$X19/M$43</f>
        <v>0</v>
      </c>
      <c r="T32" s="96">
        <f>N32*'aij-UNIFAC (VLE)'!$X19/N$43</f>
        <v>0</v>
      </c>
      <c r="U32" s="98">
        <f>O32*'aij-UNIFAC (VLE)'!$X19/O$43</f>
        <v>0</v>
      </c>
      <c r="V32" s="95">
        <v>4.8249970930970172E-2</v>
      </c>
      <c r="W32" s="96">
        <v>1.1570194547325283</v>
      </c>
      <c r="X32" s="96">
        <v>0.59144182361423447</v>
      </c>
      <c r="Y32" s="99">
        <v>0.14812693782011668</v>
      </c>
      <c r="Z32" s="99">
        <v>1.2027090151659613E-2</v>
      </c>
      <c r="AA32" s="100">
        <v>1.0873693260182771</v>
      </c>
      <c r="AB32" s="216">
        <f t="shared" si="7"/>
        <v>0</v>
      </c>
      <c r="AC32" s="217">
        <f t="shared" si="8"/>
        <v>0</v>
      </c>
      <c r="AD32" s="217">
        <f t="shared" si="9"/>
        <v>0</v>
      </c>
      <c r="AE32" s="217">
        <f t="shared" si="10"/>
        <v>0</v>
      </c>
      <c r="AF32" s="217">
        <f t="shared" si="11"/>
        <v>0</v>
      </c>
      <c r="AG32" s="215">
        <f t="shared" si="12"/>
        <v>0</v>
      </c>
      <c r="AH32" s="95">
        <v>0.29666249871893907</v>
      </c>
      <c r="AI32" s="99">
        <v>0.49886189245590795</v>
      </c>
      <c r="AJ32" s="99">
        <v>1.2138626557274934</v>
      </c>
      <c r="AK32" s="99">
        <v>2.3106898820211139</v>
      </c>
      <c r="AL32" s="99">
        <v>0.36560384210985092</v>
      </c>
      <c r="AM32" s="100">
        <v>0.50306350251088128</v>
      </c>
      <c r="AN32" s="103">
        <f>'aij-UNIFAC (VLE)'!$X19*(1-LN(V32)-AH32)</f>
        <v>5.2285765769234542</v>
      </c>
      <c r="AO32" s="104">
        <f>'aij-UNIFAC (VLE)'!$X19*(1-LN(W32)-AI32)</f>
        <v>0.49740718253268412</v>
      </c>
      <c r="AP32" s="104">
        <f>'aij-UNIFAC (VLE)'!$X19*(1-LN(X32)-AJ32)</f>
        <v>0.43586101813019301</v>
      </c>
      <c r="AQ32" s="104">
        <f>'aij-UNIFAC (VLE)'!$X19*(1-LN(Y32)-AK32)</f>
        <v>0.83859412395821831</v>
      </c>
      <c r="AR32" s="104">
        <f>'aij-UNIFAC (VLE)'!$X19*(1-LN(Z32)-AL32)</f>
        <v>7.0769857463187211</v>
      </c>
      <c r="AS32" s="105">
        <f>'aij-UNIFAC (VLE)'!$X19*(1-LN(AA32)-AM32)</f>
        <v>0.57844525299595895</v>
      </c>
      <c r="AT32" s="202"/>
      <c r="AU32" s="202"/>
    </row>
    <row r="33" spans="1:110" s="72" customFormat="1" ht="13">
      <c r="A33" s="211">
        <v>17</v>
      </c>
      <c r="B33" s="35" t="str">
        <f>'aij-UNIFAC (VLE)'!V20</f>
        <v>ACOH</v>
      </c>
      <c r="C33" s="57"/>
      <c r="D33" s="57"/>
      <c r="E33" s="57"/>
      <c r="F33" s="57"/>
      <c r="G33" s="57"/>
      <c r="H33" s="83">
        <f t="array" ref="H33">SUM(C33:G33*$C$21:$G$21)</f>
        <v>0</v>
      </c>
      <c r="I33" s="36" t="str">
        <f t="shared" si="0"/>
        <v>ACOH</v>
      </c>
      <c r="J33" s="95">
        <f t="shared" si="1"/>
        <v>0</v>
      </c>
      <c r="K33" s="96">
        <f t="shared" si="2"/>
        <v>0</v>
      </c>
      <c r="L33" s="96">
        <f t="shared" si="3"/>
        <v>0</v>
      </c>
      <c r="M33" s="96">
        <f t="shared" si="4"/>
        <v>0</v>
      </c>
      <c r="N33" s="96">
        <f t="shared" si="5"/>
        <v>0</v>
      </c>
      <c r="O33" s="215">
        <f t="shared" si="6"/>
        <v>0</v>
      </c>
      <c r="P33" s="95">
        <f>J33*'aij-UNIFAC (VLE)'!$X20/J$43</f>
        <v>0</v>
      </c>
      <c r="Q33" s="96">
        <f>K33*'aij-UNIFAC (VLE)'!$X20/K$43</f>
        <v>0</v>
      </c>
      <c r="R33" s="96">
        <f>L33*'aij-UNIFAC (VLE)'!$X20/L$43</f>
        <v>0</v>
      </c>
      <c r="S33" s="96">
        <f>M33*'aij-UNIFAC (VLE)'!$X20/M$43</f>
        <v>0</v>
      </c>
      <c r="T33" s="96">
        <f>N33*'aij-UNIFAC (VLE)'!$X20/N$43</f>
        <v>0</v>
      </c>
      <c r="U33" s="98">
        <f>O33*'aij-UNIFAC (VLE)'!$X20/O$43</f>
        <v>0</v>
      </c>
      <c r="V33" s="95">
        <v>1.1591446289737302E-2</v>
      </c>
      <c r="W33" s="96">
        <v>0.88763367799231407</v>
      </c>
      <c r="X33" s="96">
        <v>0.49229570390838873</v>
      </c>
      <c r="Y33" s="99">
        <v>1.1140426653864903</v>
      </c>
      <c r="Z33" s="99">
        <v>1.1436973211762848E-2</v>
      </c>
      <c r="AA33" s="100">
        <v>0.83260289378638386</v>
      </c>
      <c r="AB33" s="216">
        <f t="shared" si="7"/>
        <v>0</v>
      </c>
      <c r="AC33" s="217">
        <f t="shared" si="8"/>
        <v>0</v>
      </c>
      <c r="AD33" s="217">
        <f t="shared" si="9"/>
        <v>0</v>
      </c>
      <c r="AE33" s="217">
        <f t="shared" si="10"/>
        <v>0</v>
      </c>
      <c r="AF33" s="217">
        <f t="shared" si="11"/>
        <v>0</v>
      </c>
      <c r="AG33" s="215">
        <f t="shared" si="12"/>
        <v>0</v>
      </c>
      <c r="AH33" s="95">
        <v>0.91852075638009578</v>
      </c>
      <c r="AI33" s="99">
        <v>2.4549767765948438</v>
      </c>
      <c r="AJ33" s="99">
        <v>0.52959308454671894</v>
      </c>
      <c r="AK33" s="99">
        <v>4.6257138623644272</v>
      </c>
      <c r="AL33" s="99">
        <v>0.39651645716218614</v>
      </c>
      <c r="AM33" s="100">
        <v>2.4729596875818758</v>
      </c>
      <c r="AN33" s="103">
        <f>'aij-UNIFAC (VLE)'!$X20*(1-LN(V33)-AH33)</f>
        <v>3.0864976180110237</v>
      </c>
      <c r="AO33" s="104">
        <f>'aij-UNIFAC (VLE)'!$X20*(1-LN(W33)-AI33)</f>
        <v>-0.90833082888258942</v>
      </c>
      <c r="AP33" s="104">
        <f>'aij-UNIFAC (VLE)'!$X20*(1-LN(X33)-AJ33)</f>
        <v>0.80177619131160927</v>
      </c>
      <c r="AQ33" s="104">
        <f>'aij-UNIFAC (VLE)'!$X20*(1-LN(Y33)-AK33)</f>
        <v>-2.5389223256359856</v>
      </c>
      <c r="AR33" s="104">
        <f>'aij-UNIFAC (VLE)'!$X20*(1-LN(Z33)-AL33)</f>
        <v>3.4505834661815333</v>
      </c>
      <c r="AS33" s="105">
        <f>'aij-UNIFAC (VLE)'!$X20*(1-LN(AA33)-AM33)</f>
        <v>-0.87703762889059989</v>
      </c>
      <c r="AT33" s="202"/>
      <c r="AU33" s="202"/>
    </row>
    <row r="34" spans="1:110" s="72" customFormat="1" ht="13">
      <c r="A34" s="211">
        <v>18</v>
      </c>
      <c r="B34" s="35" t="str">
        <f>'aij-UNIFAC (VLE)'!V21</f>
        <v>CH3CO</v>
      </c>
      <c r="C34" s="57"/>
      <c r="D34" s="57"/>
      <c r="E34" s="57"/>
      <c r="F34" s="57"/>
      <c r="G34" s="57"/>
      <c r="H34" s="83">
        <f t="array" ref="H34">SUM(C34:G34*$C$21:$G$21)</f>
        <v>0</v>
      </c>
      <c r="I34" s="36" t="str">
        <f t="shared" si="0"/>
        <v>CH3CO</v>
      </c>
      <c r="J34" s="95">
        <f t="shared" si="1"/>
        <v>0</v>
      </c>
      <c r="K34" s="96">
        <f t="shared" si="2"/>
        <v>0</v>
      </c>
      <c r="L34" s="96">
        <f t="shared" si="3"/>
        <v>0</v>
      </c>
      <c r="M34" s="96">
        <f t="shared" si="4"/>
        <v>0</v>
      </c>
      <c r="N34" s="96">
        <f t="shared" si="5"/>
        <v>0</v>
      </c>
      <c r="O34" s="215">
        <f t="shared" si="6"/>
        <v>0</v>
      </c>
      <c r="P34" s="95">
        <f>J34*'aij-UNIFAC (VLE)'!$X21/J$43</f>
        <v>0</v>
      </c>
      <c r="Q34" s="96">
        <f>K34*'aij-UNIFAC (VLE)'!$X21/K$43</f>
        <v>0</v>
      </c>
      <c r="R34" s="96">
        <f>L34*'aij-UNIFAC (VLE)'!$X21/L$43</f>
        <v>0</v>
      </c>
      <c r="S34" s="96">
        <f>M34*'aij-UNIFAC (VLE)'!$X21/M$43</f>
        <v>0</v>
      </c>
      <c r="T34" s="96">
        <f>N34*'aij-UNIFAC (VLE)'!$X21/N$43</f>
        <v>0</v>
      </c>
      <c r="U34" s="98">
        <f>O34*'aij-UNIFAC (VLE)'!$X21/O$43</f>
        <v>0</v>
      </c>
      <c r="V34" s="95">
        <v>0.91719699569492241</v>
      </c>
      <c r="W34" s="96">
        <v>0.6559336447420121</v>
      </c>
      <c r="X34" s="96">
        <v>1.379826956003839</v>
      </c>
      <c r="Y34" s="99">
        <v>0.45834648710020293</v>
      </c>
      <c r="Z34" s="99">
        <v>0.20233036858676409</v>
      </c>
      <c r="AA34" s="100">
        <v>0.67234555568295518</v>
      </c>
      <c r="AB34" s="216">
        <f t="shared" si="7"/>
        <v>0</v>
      </c>
      <c r="AC34" s="217">
        <f t="shared" si="8"/>
        <v>0</v>
      </c>
      <c r="AD34" s="217">
        <f t="shared" si="9"/>
        <v>0</v>
      </c>
      <c r="AE34" s="217">
        <f t="shared" si="10"/>
        <v>0</v>
      </c>
      <c r="AF34" s="217">
        <f t="shared" si="11"/>
        <v>0</v>
      </c>
      <c r="AG34" s="215">
        <f t="shared" si="12"/>
        <v>0</v>
      </c>
      <c r="AH34" s="95">
        <v>0.62506620772339327</v>
      </c>
      <c r="AI34" s="99">
        <v>1.0088617150967294</v>
      </c>
      <c r="AJ34" s="99">
        <v>0.79416829696741542</v>
      </c>
      <c r="AK34" s="99">
        <v>1.1573204488162152</v>
      </c>
      <c r="AL34" s="99">
        <v>0.91415651555016475</v>
      </c>
      <c r="AM34" s="100">
        <v>1.0151436797513465</v>
      </c>
      <c r="AN34" s="103">
        <f>'aij-UNIFAC (VLE)'!$X21*(1-LN(V34)-AH34)</f>
        <v>0.6865137921479062</v>
      </c>
      <c r="AO34" s="104">
        <f>'aij-UNIFAC (VLE)'!$X21*(1-LN(W34)-AI34)</f>
        <v>0.61429688987166386</v>
      </c>
      <c r="AP34" s="104">
        <f>'aij-UNIFAC (VLE)'!$X21*(1-LN(X34)-AJ34)</f>
        <v>-0.1727960743819662</v>
      </c>
      <c r="AQ34" s="104">
        <f>'aij-UNIFAC (VLE)'!$X21*(1-LN(Y34)-AK34)</f>
        <v>0.92674040210597541</v>
      </c>
      <c r="AR34" s="104">
        <f>'aij-UNIFAC (VLE)'!$X21*(1-LN(Z34)-AL34)</f>
        <v>2.50534100793028</v>
      </c>
      <c r="AS34" s="105">
        <f>'aij-UNIFAC (VLE)'!$X21*(1-LN(AA34)-AM34)</f>
        <v>0.56817668660724074</v>
      </c>
      <c r="AT34" s="202"/>
      <c r="AU34" s="202"/>
    </row>
    <row r="35" spans="1:110" s="72" customFormat="1" ht="13">
      <c r="A35" s="211">
        <v>20</v>
      </c>
      <c r="B35" s="35" t="str">
        <f>'aij-UNIFAC (VLE)'!V22</f>
        <v>CHO</v>
      </c>
      <c r="C35" s="57"/>
      <c r="D35" s="57"/>
      <c r="E35" s="57"/>
      <c r="F35" s="57"/>
      <c r="G35" s="57"/>
      <c r="H35" s="83">
        <f t="array" ref="H35">SUM(C35:G35*$C$21:$G$21)</f>
        <v>0</v>
      </c>
      <c r="I35" s="36" t="str">
        <f t="shared" si="0"/>
        <v>CHO</v>
      </c>
      <c r="J35" s="95">
        <f t="shared" si="1"/>
        <v>0</v>
      </c>
      <c r="K35" s="96">
        <f t="shared" si="2"/>
        <v>0</v>
      </c>
      <c r="L35" s="96">
        <f t="shared" si="3"/>
        <v>0</v>
      </c>
      <c r="M35" s="96">
        <f t="shared" si="4"/>
        <v>0</v>
      </c>
      <c r="N35" s="96">
        <f t="shared" si="5"/>
        <v>0</v>
      </c>
      <c r="O35" s="215">
        <f t="shared" si="6"/>
        <v>0</v>
      </c>
      <c r="P35" s="95">
        <f>J35*'aij-UNIFAC (VLE)'!$X22/J$43</f>
        <v>0</v>
      </c>
      <c r="Q35" s="96">
        <f>K35*'aij-UNIFAC (VLE)'!$X22/K$43</f>
        <v>0</v>
      </c>
      <c r="R35" s="96">
        <f>L35*'aij-UNIFAC (VLE)'!$X22/L$43</f>
        <v>0</v>
      </c>
      <c r="S35" s="96">
        <f>M35*'aij-UNIFAC (VLE)'!$X22/M$43</f>
        <v>0</v>
      </c>
      <c r="T35" s="96">
        <f>N35*'aij-UNIFAC (VLE)'!$X22/N$43</f>
        <v>0</v>
      </c>
      <c r="U35" s="98">
        <f>O35*'aij-UNIFAC (VLE)'!$X22/O$43</f>
        <v>0</v>
      </c>
      <c r="V35" s="95">
        <v>0.31196948271590191</v>
      </c>
      <c r="W35" s="96">
        <v>0.26314751438673445</v>
      </c>
      <c r="X35" s="96">
        <v>0.87122069532215618</v>
      </c>
      <c r="Y35" s="99">
        <v>0.97325381216471885</v>
      </c>
      <c r="Z35" s="99">
        <v>0.10324307431131721</v>
      </c>
      <c r="AA35" s="100">
        <v>0.2662143884555902</v>
      </c>
      <c r="AB35" s="216">
        <f t="shared" si="7"/>
        <v>0</v>
      </c>
      <c r="AC35" s="217">
        <f t="shared" si="8"/>
        <v>0</v>
      </c>
      <c r="AD35" s="217">
        <f t="shared" si="9"/>
        <v>0</v>
      </c>
      <c r="AE35" s="217">
        <f t="shared" si="10"/>
        <v>0</v>
      </c>
      <c r="AF35" s="217">
        <f t="shared" si="11"/>
        <v>0</v>
      </c>
      <c r="AG35" s="215">
        <f t="shared" si="12"/>
        <v>0</v>
      </c>
      <c r="AH35" s="95">
        <v>0.92454787531439342</v>
      </c>
      <c r="AI35" s="99">
        <v>3.0314451863978289</v>
      </c>
      <c r="AJ35" s="99">
        <v>0.30832776533852768</v>
      </c>
      <c r="AK35" s="99">
        <v>0.28404404164935038</v>
      </c>
      <c r="AL35" s="99">
        <v>0.1833925922828181</v>
      </c>
      <c r="AM35" s="100">
        <v>3.0475535962172584</v>
      </c>
      <c r="AN35" s="103">
        <f>'aij-UNIFAC (VLE)'!$X22*(1-LN(V35)-AH35)</f>
        <v>1.1758063267627468</v>
      </c>
      <c r="AO35" s="104">
        <f>'aij-UNIFAC (VLE)'!$X22*(1-LN(W35)-AI35)</f>
        <v>-0.66019163053212326</v>
      </c>
      <c r="AP35" s="104">
        <f>'aij-UNIFAC (VLE)'!$X22*(1-LN(X35)-AJ35)</f>
        <v>0.78639651360386631</v>
      </c>
      <c r="AQ35" s="104">
        <f>'aij-UNIFAC (VLE)'!$X22*(1-LN(Y35)-AK35)</f>
        <v>0.70442688454378888</v>
      </c>
      <c r="AR35" s="104">
        <f>'aij-UNIFAC (VLE)'!$X22*(1-LN(Z35)-AL35)</f>
        <v>2.9267381542281141</v>
      </c>
      <c r="AS35" s="105">
        <f>'aij-UNIFAC (VLE)'!$X22*(1-LN(AA35)-AM35)</f>
        <v>-0.68644705883589918</v>
      </c>
      <c r="AT35" s="202"/>
      <c r="AU35" s="202"/>
    </row>
    <row r="36" spans="1:110">
      <c r="A36" s="211">
        <v>21</v>
      </c>
      <c r="B36" s="35" t="str">
        <f>'aij-UNIFAC (VLE)'!V23</f>
        <v>CH3COO</v>
      </c>
      <c r="C36" s="57"/>
      <c r="D36" s="57"/>
      <c r="E36" s="57"/>
      <c r="F36" s="57"/>
      <c r="G36" s="57"/>
      <c r="H36" s="83">
        <f t="array" ref="H36">SUM(C36:G36*$C$21:$G$21)</f>
        <v>0</v>
      </c>
      <c r="I36" s="36" t="str">
        <f t="shared" si="0"/>
        <v>CH3COO</v>
      </c>
      <c r="J36" s="95">
        <f t="shared" si="1"/>
        <v>0</v>
      </c>
      <c r="K36" s="96">
        <f t="shared" si="2"/>
        <v>0</v>
      </c>
      <c r="L36" s="96">
        <f t="shared" si="3"/>
        <v>0</v>
      </c>
      <c r="M36" s="96">
        <f t="shared" si="4"/>
        <v>0</v>
      </c>
      <c r="N36" s="96">
        <f t="shared" si="5"/>
        <v>0</v>
      </c>
      <c r="O36" s="215">
        <f t="shared" si="6"/>
        <v>0</v>
      </c>
      <c r="P36" s="95">
        <f>J36*'aij-UNIFAC (VLE)'!$X23/J$43</f>
        <v>0</v>
      </c>
      <c r="Q36" s="96">
        <f>K36*'aij-UNIFAC (VLE)'!$X23/K$43</f>
        <v>0</v>
      </c>
      <c r="R36" s="96">
        <f>L36*'aij-UNIFAC (VLE)'!$X23/L$43</f>
        <v>0</v>
      </c>
      <c r="S36" s="96">
        <f>M36*'aij-UNIFAC (VLE)'!$X23/M$43</f>
        <v>0</v>
      </c>
      <c r="T36" s="96">
        <f>N36*'aij-UNIFAC (VLE)'!$X23/N$43</f>
        <v>0</v>
      </c>
      <c r="U36" s="98">
        <f>O36*'aij-UNIFAC (VLE)'!$X23/O$43</f>
        <v>0</v>
      </c>
      <c r="V36" s="95">
        <v>0.98009676292864267</v>
      </c>
      <c r="W36" s="96">
        <v>0.82181975725328971</v>
      </c>
      <c r="X36" s="96">
        <v>1.3509551951326486</v>
      </c>
      <c r="Y36" s="99">
        <v>0.57656284386655121</v>
      </c>
      <c r="Z36" s="99">
        <v>0.45910918816932877</v>
      </c>
      <c r="AA36" s="100">
        <v>0.83176232329505806</v>
      </c>
      <c r="AB36" s="216">
        <f t="shared" si="7"/>
        <v>0</v>
      </c>
      <c r="AC36" s="217">
        <f t="shared" si="8"/>
        <v>0</v>
      </c>
      <c r="AD36" s="217">
        <f t="shared" si="9"/>
        <v>0</v>
      </c>
      <c r="AE36" s="217">
        <f t="shared" si="10"/>
        <v>0</v>
      </c>
      <c r="AF36" s="217">
        <f t="shared" si="11"/>
        <v>0</v>
      </c>
      <c r="AG36" s="215">
        <f t="shared" si="12"/>
        <v>0</v>
      </c>
      <c r="AH36" s="95">
        <v>0.74982999554469187</v>
      </c>
      <c r="AI36" s="99">
        <v>0.67147054804483641</v>
      </c>
      <c r="AJ36" s="99">
        <v>0.61819394101184233</v>
      </c>
      <c r="AK36" s="99">
        <v>0.87138229723735938</v>
      </c>
      <c r="AL36" s="99">
        <v>0.68042267930686384</v>
      </c>
      <c r="AM36" s="100">
        <v>0.69422325832469889</v>
      </c>
      <c r="AN36" s="103">
        <f>'aij-UNIFAC (VLE)'!$X23*(1-LN(V36)-AH36)</f>
        <v>0.46703343565114541</v>
      </c>
      <c r="AO36" s="104">
        <f>'aij-UNIFAC (VLE)'!$X23*(1-LN(W36)-AI36)</f>
        <v>0.90679155841072556</v>
      </c>
      <c r="AP36" s="104">
        <f>'aij-UNIFAC (VLE)'!$X23*(1-LN(X36)-AJ36)</f>
        <v>0.13995791674775307</v>
      </c>
      <c r="AQ36" s="104">
        <f>'aij-UNIFAC (VLE)'!$X23*(1-LN(Y36)-AK36)</f>
        <v>1.1738107676181284</v>
      </c>
      <c r="AR36" s="104">
        <f>'aij-UNIFAC (VLE)'!$X23*(1-LN(Z36)-AL36)</f>
        <v>1.8974209567953384</v>
      </c>
      <c r="AS36" s="105">
        <f>'aij-UNIFAC (VLE)'!$X23*(1-LN(AA36)-AM36)</f>
        <v>0.84669458071208981</v>
      </c>
      <c r="AT36" s="202"/>
      <c r="AU36" s="202"/>
    </row>
    <row r="37" spans="1:110">
      <c r="A37" s="211">
        <v>29</v>
      </c>
      <c r="B37" s="35" t="str">
        <f>'aij-UNIFAC (VLE)'!V24</f>
        <v>CH2NH2</v>
      </c>
      <c r="C37" s="57"/>
      <c r="D37" s="57"/>
      <c r="E37" s="57"/>
      <c r="F37" s="57"/>
      <c r="G37" s="57"/>
      <c r="H37" s="83">
        <f t="array" ref="H37">SUM(C37:G37*$C$21:$G$21)</f>
        <v>0</v>
      </c>
      <c r="I37" s="36" t="str">
        <f t="shared" si="0"/>
        <v>CH2NH2</v>
      </c>
      <c r="J37" s="95">
        <f t="shared" si="1"/>
        <v>0</v>
      </c>
      <c r="K37" s="96">
        <f t="shared" si="2"/>
        <v>0</v>
      </c>
      <c r="L37" s="96">
        <f t="shared" si="3"/>
        <v>0</v>
      </c>
      <c r="M37" s="96">
        <f t="shared" si="4"/>
        <v>0</v>
      </c>
      <c r="N37" s="96">
        <f t="shared" si="5"/>
        <v>0</v>
      </c>
      <c r="O37" s="215">
        <f t="shared" si="6"/>
        <v>0</v>
      </c>
      <c r="P37" s="95">
        <f>J37*'aij-UNIFAC (VLE)'!$X24/J$43</f>
        <v>0</v>
      </c>
      <c r="Q37" s="96">
        <f>K37*'aij-UNIFAC (VLE)'!$X24/K$43</f>
        <v>0</v>
      </c>
      <c r="R37" s="96">
        <f>L37*'aij-UNIFAC (VLE)'!$X24/L$43</f>
        <v>0</v>
      </c>
      <c r="S37" s="96">
        <f>M37*'aij-UNIFAC (VLE)'!$X24/M$43</f>
        <v>0</v>
      </c>
      <c r="T37" s="96">
        <f>N37*'aij-UNIFAC (VLE)'!$X24/N$43</f>
        <v>0</v>
      </c>
      <c r="U37" s="98">
        <f>O37*'aij-UNIFAC (VLE)'!$X24/O$43</f>
        <v>0</v>
      </c>
      <c r="V37" s="95">
        <v>0.58138362415166611</v>
      </c>
      <c r="W37" s="96">
        <v>0.28825290839277051</v>
      </c>
      <c r="X37" s="96">
        <v>0.61154364936476036</v>
      </c>
      <c r="Y37" s="99">
        <v>0.59469427246946549</v>
      </c>
      <c r="Z37" s="99">
        <v>0.26898559952503881</v>
      </c>
      <c r="AA37" s="100">
        <v>0.3066666475702835</v>
      </c>
      <c r="AB37" s="216">
        <f t="shared" si="7"/>
        <v>0</v>
      </c>
      <c r="AC37" s="217">
        <f t="shared" si="8"/>
        <v>0</v>
      </c>
      <c r="AD37" s="217">
        <f t="shared" si="9"/>
        <v>0</v>
      </c>
      <c r="AE37" s="217">
        <f t="shared" si="10"/>
        <v>0</v>
      </c>
      <c r="AF37" s="217">
        <f t="shared" si="11"/>
        <v>0</v>
      </c>
      <c r="AG37" s="215">
        <f t="shared" si="12"/>
        <v>0</v>
      </c>
      <c r="AH37" s="95">
        <v>1.1623311923986885</v>
      </c>
      <c r="AI37" s="99">
        <v>5.1855391452366479</v>
      </c>
      <c r="AJ37" s="99">
        <v>1.7388038421627621</v>
      </c>
      <c r="AK37" s="99">
        <v>2.8988474463340026</v>
      </c>
      <c r="AL37" s="99">
        <v>1.1076386654561763</v>
      </c>
      <c r="AM37" s="100">
        <v>5.170909918112085</v>
      </c>
      <c r="AN37" s="103">
        <f>'aij-UNIFAC (VLE)'!$X24*(1-LN(V37)-AH37)</f>
        <v>0.46969639565019339</v>
      </c>
      <c r="AO37" s="104">
        <f>'aij-UNIFAC (VLE)'!$X24*(1-LN(W37)-AI37)</f>
        <v>-3.6358449343627957</v>
      </c>
      <c r="AP37" s="104">
        <f>'aij-UNIFAC (VLE)'!$X24*(1-LN(X37)-AJ37)</f>
        <v>-0.30533513215984787</v>
      </c>
      <c r="AQ37" s="104">
        <f>'aij-UNIFAC (VLE)'!$X24*(1-LN(Y37)-AK37)</f>
        <v>-1.7046165617425948</v>
      </c>
      <c r="AR37" s="104">
        <f>'aij-UNIFAC (VLE)'!$X24*(1-LN(Z37)-AL37)</f>
        <v>1.4899470381394662</v>
      </c>
      <c r="AS37" s="105">
        <f>'aij-UNIFAC (VLE)'!$X24*(1-LN(AA37)-AM37)</f>
        <v>-3.694300124377357</v>
      </c>
      <c r="AT37" s="202"/>
      <c r="AU37" s="202"/>
    </row>
    <row r="38" spans="1:110">
      <c r="A38" s="211">
        <v>36</v>
      </c>
      <c r="B38" s="35" t="str">
        <f>'aij-UNIFAC (VLE)'!V25</f>
        <v>ACNH2</v>
      </c>
      <c r="C38" s="57"/>
      <c r="D38" s="57"/>
      <c r="E38" s="57"/>
      <c r="F38" s="57"/>
      <c r="G38" s="57"/>
      <c r="H38" s="83">
        <f t="array" ref="H38">SUM(C38:G38*$C$21:$G$21)</f>
        <v>0</v>
      </c>
      <c r="I38" s="36" t="str">
        <f t="shared" si="0"/>
        <v>ACNH2</v>
      </c>
      <c r="J38" s="95">
        <f t="shared" si="1"/>
        <v>0</v>
      </c>
      <c r="K38" s="96">
        <f t="shared" si="2"/>
        <v>0</v>
      </c>
      <c r="L38" s="96">
        <f t="shared" si="3"/>
        <v>0</v>
      </c>
      <c r="M38" s="96">
        <f t="shared" si="4"/>
        <v>0</v>
      </c>
      <c r="N38" s="96">
        <f t="shared" si="5"/>
        <v>0</v>
      </c>
      <c r="O38" s="215">
        <f t="shared" si="6"/>
        <v>0</v>
      </c>
      <c r="P38" s="95">
        <f>J38*'aij-UNIFAC (VLE)'!$X25/J$43</f>
        <v>0</v>
      </c>
      <c r="Q38" s="96">
        <f>K38*'aij-UNIFAC (VLE)'!$X25/K$43</f>
        <v>0</v>
      </c>
      <c r="R38" s="96">
        <f>L38*'aij-UNIFAC (VLE)'!$X25/L$43</f>
        <v>0</v>
      </c>
      <c r="S38" s="96">
        <f>M38*'aij-UNIFAC (VLE)'!$X25/M$43</f>
        <v>0</v>
      </c>
      <c r="T38" s="96">
        <f>N38*'aij-UNIFAC (VLE)'!$X25/N$43</f>
        <v>0</v>
      </c>
      <c r="U38" s="98">
        <f>O38*'aij-UNIFAC (VLE)'!$X25/O$43</f>
        <v>0</v>
      </c>
      <c r="V38" s="216">
        <v>0.11371346575003993</v>
      </c>
      <c r="W38" s="217">
        <v>0.13849020042332208</v>
      </c>
      <c r="X38" s="217">
        <v>0.11366519662625912</v>
      </c>
      <c r="Y38" s="217">
        <v>0.57720289740292297</v>
      </c>
      <c r="Z38" s="217">
        <v>4.5591092046142444E-2</v>
      </c>
      <c r="AA38" s="215">
        <v>0.1369337878557646</v>
      </c>
      <c r="AB38" s="216">
        <f t="shared" si="7"/>
        <v>0</v>
      </c>
      <c r="AC38" s="217">
        <f t="shared" si="8"/>
        <v>0</v>
      </c>
      <c r="AD38" s="217">
        <f t="shared" si="9"/>
        <v>0</v>
      </c>
      <c r="AE38" s="217">
        <f t="shared" si="10"/>
        <v>0</v>
      </c>
      <c r="AF38" s="217">
        <f t="shared" si="11"/>
        <v>0</v>
      </c>
      <c r="AG38" s="215">
        <f t="shared" si="12"/>
        <v>0</v>
      </c>
      <c r="AH38" s="216">
        <v>0.43599737007758854</v>
      </c>
      <c r="AI38" s="217">
        <v>1.4141576739198503</v>
      </c>
      <c r="AJ38" s="217">
        <v>3.3791081038765491</v>
      </c>
      <c r="AK38" s="217">
        <v>1.031586151716448</v>
      </c>
      <c r="AL38" s="217">
        <v>2.1922873852175999E-2</v>
      </c>
      <c r="AM38" s="215">
        <v>1.4233124137570117</v>
      </c>
      <c r="AN38" s="103">
        <f>'aij-UNIFAC (VLE)'!$X25*(1-LN(V38)-AH38)</f>
        <v>2.2342700836319822</v>
      </c>
      <c r="AO38" s="104">
        <f>'aij-UNIFAC (VLE)'!$X25*(1-LN(W38)-AI38)</f>
        <v>1.2752431981956049</v>
      </c>
      <c r="AP38" s="104">
        <f>'aij-UNIFAC (VLE)'!$X25*(1-LN(X38)-AJ38)</f>
        <v>-0.16696182570381171</v>
      </c>
      <c r="AQ38" s="104">
        <f>'aij-UNIFAC (VLE)'!$X25*(1-LN(Y38)-AK38)</f>
        <v>0.42266782898835858</v>
      </c>
      <c r="AR38" s="104">
        <f>'aij-UNIFAC (VLE)'!$X25*(1-LN(Z38)-AL38)</f>
        <v>3.3179539669674805</v>
      </c>
      <c r="AS38" s="105">
        <f>'aij-UNIFAC (VLE)'!$X25*(1-LN(AA38)-AM38)</f>
        <v>1.2769954109424588</v>
      </c>
      <c r="AT38" s="210"/>
      <c r="AU38" s="210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</row>
    <row r="39" spans="1:110">
      <c r="A39" s="211">
        <v>42</v>
      </c>
      <c r="B39" s="35" t="str">
        <f>'aij-UNIFAC (VLE)'!V26</f>
        <v>COOH</v>
      </c>
      <c r="C39" s="57"/>
      <c r="D39" s="57"/>
      <c r="E39" s="57">
        <v>1</v>
      </c>
      <c r="F39" s="57"/>
      <c r="G39" s="57"/>
      <c r="H39" s="83">
        <f t="array" ref="H39">SUM(C39:G39*$C$21:$G$21)</f>
        <v>9.9999999999999995E-21</v>
      </c>
      <c r="I39" s="36" t="str">
        <f t="shared" si="0"/>
        <v>COOH</v>
      </c>
      <c r="J39" s="95">
        <f t="shared" si="1"/>
        <v>0</v>
      </c>
      <c r="K39" s="96">
        <f t="shared" si="2"/>
        <v>0</v>
      </c>
      <c r="L39" s="96">
        <f t="shared" si="3"/>
        <v>0.33333333333333331</v>
      </c>
      <c r="M39" s="96">
        <f t="shared" si="4"/>
        <v>0</v>
      </c>
      <c r="N39" s="96">
        <f t="shared" si="5"/>
        <v>0</v>
      </c>
      <c r="O39" s="215">
        <f t="shared" si="6"/>
        <v>4.3584379358437932E-21</v>
      </c>
      <c r="P39" s="95">
        <f>J39*'aij-UNIFAC (VLE)'!$X26/J$43</f>
        <v>0</v>
      </c>
      <c r="Q39" s="96">
        <f>K39*'aij-UNIFAC (VLE)'!$X26/K$43</f>
        <v>0</v>
      </c>
      <c r="R39" s="96">
        <f>L39*'aij-UNIFAC (VLE)'!$X26/L$43</f>
        <v>0.46860643185298623</v>
      </c>
      <c r="S39" s="96">
        <f>M39*'aij-UNIFAC (VLE)'!$X26/M$43</f>
        <v>0</v>
      </c>
      <c r="T39" s="96">
        <f>N39*'aij-UNIFAC (VLE)'!$X26/N$43</f>
        <v>0</v>
      </c>
      <c r="U39" s="98">
        <f>O39*'aij-UNIFAC (VLE)'!$X26/O$43</f>
        <v>5.223411809690282E-21</v>
      </c>
      <c r="V39" s="216">
        <v>0.16489466019889587</v>
      </c>
      <c r="W39" s="217">
        <v>1.2768300962548085</v>
      </c>
      <c r="X39" s="217">
        <v>0.52601037662653871</v>
      </c>
      <c r="Y39" s="217">
        <v>0.29581053808429919</v>
      </c>
      <c r="Z39" s="217">
        <v>0.1080252908851002</v>
      </c>
      <c r="AA39" s="215">
        <v>1.2069810903300637</v>
      </c>
      <c r="AB39" s="216">
        <f t="shared" si="7"/>
        <v>0</v>
      </c>
      <c r="AC39" s="217">
        <f t="shared" si="8"/>
        <v>0</v>
      </c>
      <c r="AD39" s="217">
        <f t="shared" si="9"/>
        <v>0.89086917801564847</v>
      </c>
      <c r="AE39" s="217">
        <f t="shared" si="10"/>
        <v>0</v>
      </c>
      <c r="AF39" s="217">
        <f t="shared" si="11"/>
        <v>0</v>
      </c>
      <c r="AG39" s="215">
        <f t="shared" si="12"/>
        <v>4.3276666482503686E-21</v>
      </c>
      <c r="AH39" s="216">
        <v>0.81137713831608227</v>
      </c>
      <c r="AI39" s="217">
        <v>0.43632721554109688</v>
      </c>
      <c r="AJ39" s="217">
        <v>1.156750960446602</v>
      </c>
      <c r="AK39" s="217">
        <v>1.8218302610282484</v>
      </c>
      <c r="AL39" s="217">
        <v>0.34731560710181775</v>
      </c>
      <c r="AM39" s="215">
        <v>0.47265915024843186</v>
      </c>
      <c r="AN39" s="103">
        <f>'aij-UNIFAC (VLE)'!$X26*(1-LN(V39)-AH39)</f>
        <v>2.4370712634658314</v>
      </c>
      <c r="AO39" s="104">
        <f>'aij-UNIFAC (VLE)'!$X26*(1-LN(W39)-AI39)</f>
        <v>0.39081373284367932</v>
      </c>
      <c r="AP39" s="104">
        <f>'aij-UNIFAC (VLE)'!$X26*(1-LN(X39)-AJ39)</f>
        <v>0.5944764553642069</v>
      </c>
      <c r="AQ39" s="104">
        <f>'aij-UNIFAC (VLE)'!$X26*(1-LN(Y39)-AK39)</f>
        <v>0.48495595134754038</v>
      </c>
      <c r="AR39" s="104">
        <f>'aij-UNIFAC (VLE)'!$X26*(1-LN(Z39)-AL39)</f>
        <v>3.5227629399058658</v>
      </c>
      <c r="AS39" s="105">
        <f>'aij-UNIFAC (VLE)'!$X26*(1-LN(AA39)-AM39)</f>
        <v>0.41520353510020586</v>
      </c>
      <c r="AT39" s="210"/>
      <c r="AU39" s="210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</row>
    <row r="40" spans="1:110">
      <c r="A40" s="211">
        <v>49</v>
      </c>
      <c r="B40" s="35" t="str">
        <f>'aij-UNIFAC (VLE)'!V27</f>
        <v>CCL2</v>
      </c>
      <c r="C40" s="57"/>
      <c r="D40" s="57"/>
      <c r="E40" s="57"/>
      <c r="F40" s="57"/>
      <c r="G40" s="57"/>
      <c r="H40" s="83">
        <f t="array" ref="H40">SUM(C40:G40*$C$21:$G$21)</f>
        <v>0</v>
      </c>
      <c r="I40" s="36" t="str">
        <f t="shared" si="0"/>
        <v>CCL2</v>
      </c>
      <c r="J40" s="95">
        <f t="shared" si="1"/>
        <v>0</v>
      </c>
      <c r="K40" s="96">
        <f t="shared" si="2"/>
        <v>0</v>
      </c>
      <c r="L40" s="96">
        <f t="shared" si="3"/>
        <v>0</v>
      </c>
      <c r="M40" s="96">
        <f t="shared" si="4"/>
        <v>0</v>
      </c>
      <c r="N40" s="96">
        <f t="shared" si="5"/>
        <v>0</v>
      </c>
      <c r="O40" s="215">
        <f t="shared" si="6"/>
        <v>0</v>
      </c>
      <c r="P40" s="95">
        <f>J40*'aij-UNIFAC (VLE)'!$X27/J$43</f>
        <v>0</v>
      </c>
      <c r="Q40" s="96">
        <f>K40*'aij-UNIFAC (VLE)'!$X27/K$43</f>
        <v>0</v>
      </c>
      <c r="R40" s="96">
        <f>L40*'aij-UNIFAC (VLE)'!$X27/L$43</f>
        <v>0</v>
      </c>
      <c r="S40" s="96">
        <f>M40*'aij-UNIFAC (VLE)'!$X27/M$43</f>
        <v>0</v>
      </c>
      <c r="T40" s="96">
        <f>N40*'aij-UNIFAC (VLE)'!$X27/N$43</f>
        <v>0</v>
      </c>
      <c r="U40" s="98">
        <f>O40*'aij-UNIFAC (VLE)'!$X27/O$43</f>
        <v>0</v>
      </c>
      <c r="V40" s="216">
        <v>1.623070901711924</v>
      </c>
      <c r="W40" s="217">
        <v>1.1963184215833169</v>
      </c>
      <c r="X40" s="217">
        <v>0.98812070393732288</v>
      </c>
      <c r="Y40" s="217">
        <v>0.82033522259938541</v>
      </c>
      <c r="Z40" s="217">
        <v>0.83500971160986082</v>
      </c>
      <c r="AA40" s="215">
        <v>1.2231259461448452</v>
      </c>
      <c r="AB40" s="216">
        <f t="shared" si="7"/>
        <v>0</v>
      </c>
      <c r="AC40" s="217">
        <f t="shared" si="8"/>
        <v>0</v>
      </c>
      <c r="AD40" s="217">
        <f t="shared" si="9"/>
        <v>0</v>
      </c>
      <c r="AE40" s="217">
        <f t="shared" si="10"/>
        <v>0</v>
      </c>
      <c r="AF40" s="217">
        <f t="shared" si="11"/>
        <v>0</v>
      </c>
      <c r="AG40" s="215">
        <f t="shared" si="12"/>
        <v>0</v>
      </c>
      <c r="AH40" s="216">
        <v>0.66574924155229886</v>
      </c>
      <c r="AI40" s="217">
        <v>0.44336767258000831</v>
      </c>
      <c r="AJ40" s="217">
        <v>0.82682065592221032</v>
      </c>
      <c r="AK40" s="217">
        <v>0.75352463486109678</v>
      </c>
      <c r="AL40" s="217">
        <v>0.89192613295238909</v>
      </c>
      <c r="AM40" s="215">
        <v>0.4592285701714538</v>
      </c>
      <c r="AN40" s="103">
        <f>'aij-UNIFAC (VLE)'!$X27*(1-LN(V40)-AH40)</f>
        <v>-0.21730022291480244</v>
      </c>
      <c r="AO40" s="104">
        <f>'aij-UNIFAC (VLE)'!$X27*(1-LN(W40)-AI40)</f>
        <v>0.54645126245282594</v>
      </c>
      <c r="AP40" s="104">
        <f>'aij-UNIFAC (VLE)'!$X27*(1-LN(X40)-AJ40)</f>
        <v>0.26806789653028107</v>
      </c>
      <c r="AQ40" s="104">
        <f>'aij-UNIFAC (VLE)'!$X27*(1-LN(Y40)-AK40)</f>
        <v>0.64366145490452487</v>
      </c>
      <c r="AR40" s="104">
        <f>'aij-UNIFAC (VLE)'!$X27*(1-LN(Z40)-AL40)</f>
        <v>0.41758262475410057</v>
      </c>
      <c r="AS40" s="105">
        <f>'aij-UNIFAC (VLE)'!$X27*(1-LN(AA40)-AM40)</f>
        <v>0.49139559262035104</v>
      </c>
      <c r="AT40" s="210"/>
      <c r="AU40" s="210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</row>
    <row r="41" spans="1:110">
      <c r="A41" s="211">
        <v>51</v>
      </c>
      <c r="B41" s="35" t="str">
        <f>'aij-UNIFAC (VLE)'!V28</f>
        <v>CCL3</v>
      </c>
      <c r="C41" s="57"/>
      <c r="D41" s="57"/>
      <c r="E41" s="57"/>
      <c r="F41" s="57"/>
      <c r="G41" s="57"/>
      <c r="H41" s="83">
        <f t="array" ref="H41">SUM(C41:G41*$C$21:$G$21)</f>
        <v>0</v>
      </c>
      <c r="I41" s="36" t="str">
        <f t="shared" si="0"/>
        <v>CCL3</v>
      </c>
      <c r="J41" s="95">
        <f t="shared" si="1"/>
        <v>0</v>
      </c>
      <c r="K41" s="96">
        <f t="shared" si="2"/>
        <v>0</v>
      </c>
      <c r="L41" s="96">
        <f t="shared" si="3"/>
        <v>0</v>
      </c>
      <c r="M41" s="96">
        <f t="shared" si="4"/>
        <v>0</v>
      </c>
      <c r="N41" s="96">
        <f t="shared" si="5"/>
        <v>0</v>
      </c>
      <c r="O41" s="215">
        <f t="shared" si="6"/>
        <v>0</v>
      </c>
      <c r="P41" s="95">
        <f>J41*'aij-UNIFAC (VLE)'!$X28/J$43</f>
        <v>0</v>
      </c>
      <c r="Q41" s="96">
        <f>K41*'aij-UNIFAC (VLE)'!$X28/K$43</f>
        <v>0</v>
      </c>
      <c r="R41" s="96">
        <f>L41*'aij-UNIFAC (VLE)'!$X28/L$43</f>
        <v>0</v>
      </c>
      <c r="S41" s="96">
        <f>M41*'aij-UNIFAC (VLE)'!$X28/M$43</f>
        <v>0</v>
      </c>
      <c r="T41" s="96">
        <f>N41*'aij-UNIFAC (VLE)'!$X28/N$43</f>
        <v>0</v>
      </c>
      <c r="U41" s="98">
        <f>O41*'aij-UNIFAC (VLE)'!$X28/O$43</f>
        <v>0</v>
      </c>
      <c r="V41" s="216">
        <v>2.176670490163914</v>
      </c>
      <c r="W41" s="217">
        <v>1.3445793070704153</v>
      </c>
      <c r="X41" s="217">
        <v>0.89909839911663192</v>
      </c>
      <c r="Y41" s="217">
        <v>1.1377292630095184</v>
      </c>
      <c r="Z41" s="217">
        <v>0.9198772799238939</v>
      </c>
      <c r="AA41" s="215">
        <v>1.396849196214323</v>
      </c>
      <c r="AB41" s="216">
        <f t="shared" si="7"/>
        <v>0</v>
      </c>
      <c r="AC41" s="217">
        <f t="shared" si="8"/>
        <v>0</v>
      </c>
      <c r="AD41" s="217">
        <f t="shared" si="9"/>
        <v>0</v>
      </c>
      <c r="AE41" s="217">
        <f t="shared" si="10"/>
        <v>0</v>
      </c>
      <c r="AF41" s="217">
        <f t="shared" si="11"/>
        <v>0</v>
      </c>
      <c r="AG41" s="215">
        <f t="shared" si="12"/>
        <v>0</v>
      </c>
      <c r="AH41" s="216">
        <v>0.46468628577461807</v>
      </c>
      <c r="AI41" s="217">
        <v>0.44761319806053662</v>
      </c>
      <c r="AJ41" s="217">
        <v>0.84107387810592704</v>
      </c>
      <c r="AK41" s="217">
        <v>0.66453531029506518</v>
      </c>
      <c r="AL41" s="217">
        <v>0.88418195758547224</v>
      </c>
      <c r="AM41" s="215">
        <v>0.45147806754805958</v>
      </c>
      <c r="AN41" s="103">
        <f>'aij-UNIFAC (VLE)'!$X28*(1-LN(V41)-AH41)</f>
        <v>-0.52958221019784013</v>
      </c>
      <c r="AO41" s="104">
        <f>'aij-UNIFAC (VLE)'!$X28*(1-LN(W41)-AI41)</f>
        <v>0.55977147552076989</v>
      </c>
      <c r="AP41" s="104">
        <f>'aij-UNIFAC (VLE)'!$X28*(1-LN(X41)-AJ41)</f>
        <v>0.57939099784436188</v>
      </c>
      <c r="AQ41" s="104">
        <f>'aij-UNIFAC (VLE)'!$X28*(1-LN(Y41)-AK41)</f>
        <v>0.45084374958591866</v>
      </c>
      <c r="AR41" s="104">
        <f>'aij-UNIFAC (VLE)'!$X28*(1-LN(Z41)-AL41)</f>
        <v>0.43534338477755152</v>
      </c>
      <c r="AS41" s="105">
        <f>'aij-UNIFAC (VLE)'!$X28*(1-LN(AA41)-AM41)</f>
        <v>0.46803732898437</v>
      </c>
      <c r="AT41" s="210"/>
      <c r="AU41" s="210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</row>
    <row r="42" spans="1:110">
      <c r="A42" s="211">
        <v>99</v>
      </c>
      <c r="B42" s="35" t="str">
        <f>'aij-UNIFAC (VLE)'!V29</f>
        <v>CON(CH2)2</v>
      </c>
      <c r="C42" s="57"/>
      <c r="D42" s="57"/>
      <c r="E42" s="57"/>
      <c r="F42" s="57"/>
      <c r="G42" s="57"/>
      <c r="H42" s="83">
        <f t="array" ref="H42">SUM(C42:G42*$C$21:$G$21)</f>
        <v>0</v>
      </c>
      <c r="I42" s="36" t="str">
        <f t="shared" si="0"/>
        <v>CON(CH2)2</v>
      </c>
      <c r="J42" s="107">
        <f t="shared" si="1"/>
        <v>0</v>
      </c>
      <c r="K42" s="108">
        <f t="shared" si="2"/>
        <v>0</v>
      </c>
      <c r="L42" s="108">
        <f t="shared" si="3"/>
        <v>0</v>
      </c>
      <c r="M42" s="108">
        <f t="shared" si="4"/>
        <v>0</v>
      </c>
      <c r="N42" s="108">
        <f t="shared" si="5"/>
        <v>0</v>
      </c>
      <c r="O42" s="218">
        <f t="shared" si="6"/>
        <v>0</v>
      </c>
      <c r="P42" s="107">
        <f>J42*'aij-UNIFAC (VLE)'!$X29/J$43</f>
        <v>0</v>
      </c>
      <c r="Q42" s="108">
        <f>K42*'aij-UNIFAC (VLE)'!$X29/K$43</f>
        <v>0</v>
      </c>
      <c r="R42" s="108">
        <f>L42*'aij-UNIFAC (VLE)'!$X29/L$43</f>
        <v>0</v>
      </c>
      <c r="S42" s="108">
        <f>M42*'aij-UNIFAC (VLE)'!$X29/M$43</f>
        <v>0</v>
      </c>
      <c r="T42" s="108">
        <f>N42*'aij-UNIFAC (VLE)'!$X29/N$43</f>
        <v>0</v>
      </c>
      <c r="U42" s="110">
        <f>O42*'aij-UNIFAC (VLE)'!$X29/O$43</f>
        <v>0</v>
      </c>
      <c r="V42" s="219">
        <v>1</v>
      </c>
      <c r="W42" s="220">
        <v>0.73173473866199523</v>
      </c>
      <c r="X42" s="220">
        <v>1.5293860873730512</v>
      </c>
      <c r="Y42" s="220">
        <v>1.8231530103147302</v>
      </c>
      <c r="Z42" s="220">
        <v>0.2787207596100813</v>
      </c>
      <c r="AA42" s="218">
        <v>0.74858649211907191</v>
      </c>
      <c r="AB42" s="219">
        <f t="shared" si="7"/>
        <v>0</v>
      </c>
      <c r="AC42" s="220">
        <f t="shared" si="8"/>
        <v>0</v>
      </c>
      <c r="AD42" s="220">
        <f t="shared" si="9"/>
        <v>0</v>
      </c>
      <c r="AE42" s="220">
        <f t="shared" si="10"/>
        <v>0</v>
      </c>
      <c r="AF42" s="220">
        <f t="shared" si="11"/>
        <v>0</v>
      </c>
      <c r="AG42" s="218">
        <f t="shared" si="12"/>
        <v>0</v>
      </c>
      <c r="AH42" s="219">
        <v>1</v>
      </c>
      <c r="AI42" s="220">
        <v>1.2964376524595274</v>
      </c>
      <c r="AJ42" s="220">
        <v>1.8245499330475901</v>
      </c>
      <c r="AK42" s="220">
        <v>0.85752174774019463</v>
      </c>
      <c r="AL42" s="220">
        <v>0.91045405745338392</v>
      </c>
      <c r="AM42" s="218">
        <v>1.3219992210844478</v>
      </c>
      <c r="AN42" s="115">
        <f>'aij-UNIFAC (VLE)'!$X29*(1-LN(V42)-AH42)</f>
        <v>0</v>
      </c>
      <c r="AO42" s="116">
        <f>'aij-UNIFAC (VLE)'!$X29*(1-LN(W42)-AI42)</f>
        <v>2.8809997489563619E-2</v>
      </c>
      <c r="AP42" s="116">
        <f>'aij-UNIFAC (VLE)'!$X29*(1-LN(X42)-AJ42)</f>
        <v>-2.2639424041780503</v>
      </c>
      <c r="AQ42" s="116">
        <f>'aij-UNIFAC (VLE)'!$X29*(1-LN(Y42)-AK42)</f>
        <v>-0.83005758177409505</v>
      </c>
      <c r="AR42" s="116">
        <f>'aij-UNIFAC (VLE)'!$X29*(1-LN(Z42)-AL42)</f>
        <v>2.4771685341597709</v>
      </c>
      <c r="AS42" s="117">
        <f>'aij-UNIFAC (VLE)'!$X29*(1-LN(AA42)-AM42)</f>
        <v>-5.8764416113639827E-2</v>
      </c>
      <c r="AT42" s="210"/>
      <c r="AU42" s="210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</row>
    <row r="43" spans="1:110">
      <c r="B43" s="82" t="s">
        <v>141</v>
      </c>
      <c r="C43" s="83">
        <f>C21*SUM(C23:C42)</f>
        <v>0.36799999999999999</v>
      </c>
      <c r="D43" s="83">
        <f>D21*SUM(D23:D42)</f>
        <v>1.9263999999999999</v>
      </c>
      <c r="E43" s="83">
        <f>E21*SUM(E23:E42)</f>
        <v>2.9999999999999997E-20</v>
      </c>
      <c r="F43" s="83">
        <f>F21*SUM(F23:F42)</f>
        <v>2.9999999999999997E-20</v>
      </c>
      <c r="G43" s="83">
        <f>G21*SUM(G23:G42)</f>
        <v>4.9999999999999999E-20</v>
      </c>
      <c r="H43" s="83">
        <f>SUM(C43:G43)</f>
        <v>2.2944</v>
      </c>
      <c r="I43" s="118" t="s">
        <v>142</v>
      </c>
      <c r="J43" s="36">
        <f t="array" ref="J43">SUM(J23:J42*_Q)</f>
        <v>0.4</v>
      </c>
      <c r="K43" s="36">
        <f t="array" ref="K43">SUM(K23:K42*_Q)</f>
        <v>1.1399999999999999</v>
      </c>
      <c r="L43" s="36">
        <f t="array" ref="L43">SUM(L23:L42*_Q)</f>
        <v>0.87066666666666659</v>
      </c>
      <c r="M43" s="36">
        <f t="array" ref="M43">SUM(M23:M42*_Q)</f>
        <v>0.86266666666666658</v>
      </c>
      <c r="N43" s="36">
        <f t="array" ref="N43">SUM(N23:N42*_Q)</f>
        <v>0.66320000000000001</v>
      </c>
      <c r="O43" s="36">
        <f t="array" ref="O43">SUM(O23:O42*_Q)</f>
        <v>1.0213110181311018</v>
      </c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</row>
    <row r="44" spans="1:110">
      <c r="B44" s="35" t="s">
        <v>143</v>
      </c>
      <c r="C44" s="119">
        <f>SUM(C23:C42)</f>
        <v>10</v>
      </c>
      <c r="D44" s="119">
        <f>SUM(D23:D42)</f>
        <v>2</v>
      </c>
      <c r="E44" s="119">
        <f>SUM(E23:E42)</f>
        <v>3</v>
      </c>
      <c r="F44" s="119">
        <f>SUM(F23:F42)</f>
        <v>3</v>
      </c>
      <c r="G44" s="119">
        <f>SUM(G23:G42)</f>
        <v>5</v>
      </c>
      <c r="H44" s="120"/>
      <c r="I44" s="202"/>
      <c r="J44" s="202"/>
      <c r="K44" s="202"/>
      <c r="L44" s="202"/>
      <c r="M44" s="202"/>
      <c r="N44" s="202"/>
      <c r="O44" s="202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</row>
    <row r="45" spans="1:110">
      <c r="B45" s="35"/>
      <c r="C45" s="119"/>
      <c r="D45" s="119"/>
      <c r="E45" s="119"/>
      <c r="F45" s="119"/>
      <c r="G45" s="144"/>
      <c r="H45" s="121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</row>
    <row r="46" spans="1:110">
      <c r="B46" s="72" t="s">
        <v>44</v>
      </c>
      <c r="C46" s="58">
        <f t="array" ref="C46">SUM(C23:C42*_Q)</f>
        <v>4</v>
      </c>
      <c r="D46" s="58">
        <f t="array" ref="D46">SUM(D23:D42*_Q)</f>
        <v>2.2799999999999998</v>
      </c>
      <c r="E46" s="58">
        <f t="array" ref="E46">SUM(E23:E42*_Q)</f>
        <v>2.6120000000000001</v>
      </c>
      <c r="F46" s="58">
        <f t="array" ref="F46">SUM(F23:F42*_Q)</f>
        <v>2.5880000000000001</v>
      </c>
      <c r="G46" s="58">
        <f t="array" ref="G46">SUM(G23:G42*_Q)</f>
        <v>3.3159999999999998</v>
      </c>
      <c r="H46" s="121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</row>
    <row r="47" spans="1:110">
      <c r="B47" s="35" t="s">
        <v>43</v>
      </c>
      <c r="C47" s="58">
        <f t="array" ref="C47">SUM(C23:C42*_R)</f>
        <v>5.3129999999999997</v>
      </c>
      <c r="D47" s="58">
        <f t="array" ref="D47">SUM(D23:D42*_R)</f>
        <v>2.3322000000000003</v>
      </c>
      <c r="E47" s="58">
        <f t="array" ref="E47">SUM(E23:E42*_R)</f>
        <v>2.8767999999999998</v>
      </c>
      <c r="F47" s="58">
        <f t="array" ref="F47">SUM(F23:F42*_R)</f>
        <v>2.5754999999999999</v>
      </c>
      <c r="G47" s="58">
        <f t="array" ref="G47">SUM(G23:G42*_R)</f>
        <v>3.8254000000000001</v>
      </c>
      <c r="H47" s="121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</row>
    <row r="48" spans="1:110">
      <c r="B48" s="82" t="s">
        <v>144</v>
      </c>
      <c r="C48" s="58">
        <f>C21*C46/SUMPRODUCT($C46:$G46,$C21:$G21)</f>
        <v>6.281750150215766E-2</v>
      </c>
      <c r="D48" s="58">
        <f>D21*D46/SUMPRODUCT($C46:$G46,$C21:$G21)</f>
        <v>0.93718249849784241</v>
      </c>
      <c r="E48" s="58">
        <f>E21*E46/SUMPRODUCT($C46:$G46,$C21:$G21)</f>
        <v>1.1146692521986128E-20</v>
      </c>
      <c r="F48" s="58">
        <f>F21*F46/SUMPRODUCT($C46:$G46,$C21:$G21)</f>
        <v>1.1044272682580435E-20</v>
      </c>
      <c r="G48" s="58">
        <f>G21*G46/SUMPRODUCT($C46:$G46,$C21:$G21)</f>
        <v>1.4151007811219755E-20</v>
      </c>
      <c r="H48" s="121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</row>
    <row r="49" spans="2:110">
      <c r="B49" s="82" t="s">
        <v>145</v>
      </c>
      <c r="C49" s="58">
        <f>C21*C47/SUMPRODUCT($C47:$G47,$C21:$G21)</f>
        <v>8.0068358756883326E-2</v>
      </c>
      <c r="D49" s="58">
        <f>D21*D47/SUMPRODUCT($C47:$G47,$C21:$G21)</f>
        <v>0.91993164124311666</v>
      </c>
      <c r="E49" s="58">
        <f>E21*E47/SUMPRODUCT($C47:$G47,$C21:$G21)</f>
        <v>1.1781021861461733E-20</v>
      </c>
      <c r="F49" s="58">
        <f>F21*F47/SUMPRODUCT($C47:$G47,$C21:$G21)</f>
        <v>1.0547143285662782E-20</v>
      </c>
      <c r="G49" s="58">
        <f>G21*G47/SUMPRODUCT($C47:$G47,$C21:$G21)</f>
        <v>1.5665712259745452E-20</v>
      </c>
      <c r="H49" s="121"/>
      <c r="J49" s="210"/>
      <c r="K49" s="210"/>
      <c r="L49" s="210"/>
      <c r="M49" s="210"/>
      <c r="N49" s="210"/>
      <c r="O49" s="210"/>
      <c r="AA49" s="33"/>
      <c r="AB49" s="33"/>
      <c r="AC49" s="33"/>
      <c r="AD49" s="33"/>
      <c r="AF49" s="33"/>
      <c r="AG49" s="33"/>
      <c r="AH49" s="33"/>
      <c r="AI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</row>
    <row r="50" spans="2:110">
      <c r="B50" s="72" t="s">
        <v>146</v>
      </c>
      <c r="C50" s="58">
        <f>LN(C49/C21)+(1-C49/C21)-5*C46*(LN(C49/C48)+(1-C49/C48))</f>
        <v>0.24104456004852581</v>
      </c>
      <c r="D50" s="58">
        <f>LN(D49/D21)+(1-D49/D21)-5*D46*(LN(D49/D48)+(1-D49/D48))</f>
        <v>9.1508205537394393E-4</v>
      </c>
      <c r="E50" s="58">
        <f>LN(E49/E21)+(1-E49/E21)-5*E46*(LN(E49/E48)+(1-E49/E48))</f>
        <v>6.1802060760455767E-3</v>
      </c>
      <c r="F50" s="58">
        <f>LN(F49/F21)+(1-F49/F21)-5*F46*(LN(F49/F48)+(1-F49/F48))</f>
        <v>1.2071758924269342E-2</v>
      </c>
      <c r="G50" s="58">
        <f>LN(G49/G21)+(1-G49/G21)-5*G46*(LN(G49/G48)+(1-G49/G48))</f>
        <v>-2.8977592872157121E-2</v>
      </c>
      <c r="H50" s="121"/>
      <c r="I50" s="34"/>
      <c r="J50" s="210"/>
      <c r="K50" s="210"/>
      <c r="L50" s="210"/>
      <c r="M50" s="210"/>
      <c r="N50" s="210"/>
      <c r="O50" s="210"/>
      <c r="AA50" s="33"/>
      <c r="AB50" s="33"/>
      <c r="AC50" s="33"/>
      <c r="AD50" s="33"/>
      <c r="AF50" s="33"/>
      <c r="AG50" s="33"/>
      <c r="AH50" s="33"/>
      <c r="AI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</row>
    <row r="51" spans="2:110">
      <c r="B51" s="72" t="s">
        <v>147</v>
      </c>
      <c r="C51" s="58">
        <f t="array" ref="C51">SUM(C23:C42*AN23:AN42)</f>
        <v>0</v>
      </c>
      <c r="D51" s="58">
        <f t="array" ref="D51">SUM(D23:D42*AO23:AO42)</f>
        <v>0.61565256464606799</v>
      </c>
      <c r="E51" s="58">
        <f t="array" ref="E51">SUM(E23:E42*AP23:AP42)</f>
        <v>1.2930571174718444</v>
      </c>
      <c r="F51" s="58">
        <f t="array" ref="F51">SUM(F23:F42*AQ23:AQ42)</f>
        <v>1.1637997761509746</v>
      </c>
      <c r="G51" s="58">
        <f t="array" ref="G51">SUM(G23:G42*AR23:AR42)</f>
        <v>0</v>
      </c>
      <c r="H51" s="121"/>
      <c r="J51" s="210"/>
      <c r="K51" s="210"/>
      <c r="L51" s="210"/>
      <c r="M51" s="210"/>
      <c r="N51" s="210"/>
      <c r="O51" s="210"/>
      <c r="AA51" s="33"/>
      <c r="AB51" s="33"/>
      <c r="AC51" s="33"/>
      <c r="AD51" s="33"/>
      <c r="AF51" s="33"/>
      <c r="AG51" s="33"/>
      <c r="AH51" s="33"/>
      <c r="AI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</row>
    <row r="52" spans="2:110">
      <c r="B52" s="72" t="s">
        <v>148</v>
      </c>
      <c r="C52" s="58">
        <f t="array" ref="C52">SUM(C23:C42*$AS23:$AS42)</f>
        <v>1.6592023852615911</v>
      </c>
      <c r="D52" s="58">
        <f t="array" ref="D52">SUM(D23:D42*$AS23:$AS42)</f>
        <v>0.61785086660900868</v>
      </c>
      <c r="E52" s="58">
        <f t="array" ref="E52">SUM(E23:E42*$AS23:$AS42)</f>
        <v>1.1527911732440959</v>
      </c>
      <c r="F52" s="58">
        <f t="array" ref="F52">SUM(F23:F42*$AS23:$AS42)</f>
        <v>1.3995839625025277</v>
      </c>
      <c r="G52" s="58">
        <f t="array" ref="G52">SUM(G23:G42*$AS23:$AS42)</f>
        <v>1.7621330029431839</v>
      </c>
      <c r="J52" s="210"/>
      <c r="K52" s="210"/>
      <c r="L52" s="210"/>
      <c r="M52" s="210"/>
      <c r="N52" s="210"/>
      <c r="O52" s="210"/>
      <c r="AA52" s="33"/>
      <c r="AB52" s="33"/>
      <c r="AC52" s="33"/>
      <c r="AD52" s="33"/>
      <c r="AF52" s="33"/>
      <c r="AG52" s="33"/>
      <c r="AH52" s="33"/>
      <c r="AI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</row>
    <row r="53" spans="2:110">
      <c r="J53" s="210"/>
      <c r="K53" s="210"/>
      <c r="L53" s="210"/>
      <c r="M53" s="210"/>
      <c r="N53" s="210"/>
      <c r="O53" s="210"/>
      <c r="AA53" s="33"/>
      <c r="AB53" s="33"/>
      <c r="AC53" s="33"/>
      <c r="AD53" s="33"/>
      <c r="AF53" s="33"/>
      <c r="AG53" s="33"/>
      <c r="AH53" s="33"/>
      <c r="AI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</row>
    <row r="54" spans="2:110">
      <c r="J54" s="210"/>
      <c r="K54" s="210"/>
      <c r="L54" s="210"/>
      <c r="M54" s="210"/>
      <c r="N54" s="210"/>
      <c r="O54" s="210"/>
      <c r="AA54" s="33"/>
      <c r="AB54" s="33"/>
      <c r="AC54" s="33"/>
      <c r="AD54" s="33"/>
      <c r="AF54" s="33"/>
      <c r="AG54" s="33"/>
      <c r="AH54" s="33"/>
      <c r="AI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</row>
    <row r="55" spans="2:110">
      <c r="K55" s="210"/>
      <c r="L55" s="210"/>
      <c r="M55" s="210"/>
      <c r="N55" s="210"/>
      <c r="O55" s="210"/>
      <c r="AA55" s="33"/>
      <c r="AB55" s="33"/>
      <c r="AC55" s="33"/>
      <c r="AD55" s="33"/>
      <c r="AF55" s="33"/>
      <c r="AG55" s="33"/>
      <c r="AH55" s="33"/>
      <c r="AI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</row>
    <row r="56" spans="2:110">
      <c r="J56" s="122"/>
      <c r="AA56" s="33"/>
      <c r="AB56" s="33"/>
      <c r="AC56" s="33"/>
      <c r="AD56" s="33"/>
      <c r="AF56" s="33"/>
      <c r="AG56" s="33"/>
      <c r="AH56" s="33"/>
      <c r="AI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</row>
    <row r="57" spans="2:110">
      <c r="AA57" s="33"/>
      <c r="AB57" s="33"/>
      <c r="AC57" s="33"/>
      <c r="AD57" s="33"/>
      <c r="AF57" s="33"/>
      <c r="AG57" s="33"/>
      <c r="AH57" s="33"/>
      <c r="AI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</row>
    <row r="58" spans="2:110">
      <c r="AA58" s="33"/>
      <c r="AB58" s="33"/>
      <c r="AC58" s="33"/>
      <c r="AD58" s="33"/>
      <c r="AF58" s="33"/>
      <c r="AG58" s="33"/>
      <c r="AH58" s="33"/>
      <c r="AI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</row>
    <row r="59" spans="2:110">
      <c r="AA59" s="33"/>
      <c r="AB59" s="33"/>
      <c r="AC59" s="33"/>
      <c r="AD59" s="33"/>
      <c r="AF59" s="33"/>
      <c r="AG59" s="33"/>
      <c r="AH59" s="33"/>
      <c r="AI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</row>
    <row r="60" spans="2:110">
      <c r="AA60" s="33"/>
      <c r="AB60" s="33"/>
      <c r="AC60" s="33"/>
      <c r="AD60" s="33"/>
      <c r="AF60" s="33"/>
      <c r="AG60" s="33"/>
      <c r="AH60" s="33"/>
      <c r="AI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</row>
    <row r="61" spans="2:110">
      <c r="AA61" s="33"/>
      <c r="AB61" s="33"/>
      <c r="AC61" s="33"/>
      <c r="AD61" s="33"/>
      <c r="AF61" s="33"/>
      <c r="AG61" s="33"/>
      <c r="AH61" s="33"/>
      <c r="AI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</row>
    <row r="62" spans="2:110">
      <c r="AA62" s="33"/>
      <c r="AB62" s="33"/>
      <c r="AC62" s="33"/>
      <c r="AD62" s="33"/>
      <c r="AF62" s="33"/>
      <c r="AG62" s="33"/>
      <c r="AH62" s="33"/>
      <c r="AI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</row>
    <row r="63" spans="2:110">
      <c r="AA63" s="33"/>
      <c r="AB63" s="33"/>
      <c r="AC63" s="33"/>
      <c r="AD63" s="33"/>
      <c r="AF63" s="33"/>
      <c r="AG63" s="33"/>
      <c r="AH63" s="33"/>
      <c r="AI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</row>
    <row r="64" spans="2:110">
      <c r="AA64" s="33"/>
      <c r="AB64" s="33"/>
      <c r="AC64" s="33"/>
      <c r="AD64" s="33"/>
      <c r="AF64" s="33"/>
      <c r="AG64" s="33"/>
      <c r="AH64" s="33"/>
      <c r="AI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</row>
    <row r="65" spans="27:110">
      <c r="AA65" s="33"/>
      <c r="AB65" s="33"/>
      <c r="AC65" s="33"/>
      <c r="AD65" s="33"/>
      <c r="AF65" s="33"/>
      <c r="AG65" s="33"/>
      <c r="AH65" s="33"/>
      <c r="AI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</row>
    <row r="66" spans="27:110">
      <c r="AA66" s="33"/>
      <c r="AB66" s="33"/>
      <c r="AC66" s="33"/>
      <c r="AD66" s="33"/>
      <c r="AF66" s="33"/>
      <c r="AG66" s="33"/>
      <c r="AH66" s="33"/>
      <c r="AI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</row>
    <row r="67" spans="27:110">
      <c r="AA67" s="33"/>
      <c r="AB67" s="33"/>
      <c r="AC67" s="33"/>
      <c r="AD67" s="33"/>
      <c r="AF67" s="33"/>
      <c r="AG67" s="33"/>
      <c r="AH67" s="33"/>
      <c r="AI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</row>
    <row r="68" spans="27:110">
      <c r="AA68" s="33"/>
      <c r="AB68" s="33"/>
      <c r="AC68" s="33"/>
      <c r="AD68" s="33"/>
      <c r="AF68" s="33"/>
      <c r="AG68" s="33"/>
      <c r="AH68" s="33"/>
      <c r="AI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</row>
    <row r="69" spans="27:110">
      <c r="AA69" s="33"/>
      <c r="AB69" s="33"/>
      <c r="AC69" s="33"/>
      <c r="AD69" s="33"/>
      <c r="AF69" s="33"/>
      <c r="AG69" s="33"/>
      <c r="AH69" s="33"/>
      <c r="AI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</row>
    <row r="70" spans="27:110">
      <c r="AA70" s="33"/>
      <c r="AB70" s="33"/>
      <c r="AC70" s="33"/>
      <c r="AD70" s="33"/>
      <c r="AF70" s="33"/>
      <c r="AG70" s="33"/>
      <c r="AH70" s="33"/>
      <c r="AI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</row>
    <row r="71" spans="27:110">
      <c r="AA71" s="33"/>
      <c r="AB71" s="33"/>
      <c r="AC71" s="33"/>
      <c r="AD71" s="33"/>
      <c r="AF71" s="33"/>
      <c r="AG71" s="33"/>
      <c r="AH71" s="33"/>
      <c r="AI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</row>
    <row r="72" spans="27:110">
      <c r="AA72" s="33"/>
      <c r="AB72" s="33"/>
      <c r="AC72" s="33"/>
      <c r="AD72" s="33"/>
      <c r="AF72" s="33"/>
      <c r="AG72" s="33"/>
      <c r="AH72" s="33"/>
      <c r="AI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</row>
    <row r="73" spans="27:110">
      <c r="AA73" s="33"/>
      <c r="AB73" s="33"/>
      <c r="AC73" s="33"/>
      <c r="AD73" s="33"/>
      <c r="AF73" s="33"/>
      <c r="AG73" s="33"/>
      <c r="AH73" s="33"/>
      <c r="AI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</row>
  </sheetData>
  <sheetProtection sheet="1" objects="1" scenarios="1"/>
  <phoneticPr fontId="36" type="noConversion"/>
  <pageMargins left="0.75" right="0.75" top="1" bottom="1" header="0.5" footer="0.5"/>
  <pageSetup scale="87" fitToWidth="2" orientation="landscape" horizontalDpi="300" verticalDpi="30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BL71"/>
  <sheetViews>
    <sheetView workbookViewId="0">
      <selection activeCell="F1" sqref="F1"/>
    </sheetView>
  </sheetViews>
  <sheetFormatPr baseColWidth="10" defaultColWidth="10.6640625" defaultRowHeight="13"/>
  <cols>
    <col min="1" max="18" width="10.6640625" style="222" customWidth="1"/>
    <col min="19" max="19" width="9.1640625" style="222" customWidth="1"/>
    <col min="20" max="20" width="5.6640625" style="221" customWidth="1"/>
    <col min="21" max="21" width="5.83203125" style="221" customWidth="1"/>
    <col min="22" max="44" width="10.6640625" style="221" customWidth="1"/>
    <col min="45" max="46" width="10.6640625" style="222" customWidth="1"/>
    <col min="47" max="64" width="9.1640625" style="255" customWidth="1"/>
    <col min="65" max="16384" width="10.6640625" style="222"/>
  </cols>
  <sheetData>
    <row r="1" spans="1:45">
      <c r="A1" s="221" t="s">
        <v>265</v>
      </c>
    </row>
    <row r="2" spans="1:45" s="221" customFormat="1">
      <c r="A2" s="221" t="s">
        <v>266</v>
      </c>
    </row>
    <row r="3" spans="1:45" s="221" customFormat="1">
      <c r="T3" s="221" t="s">
        <v>267</v>
      </c>
    </row>
    <row r="4" spans="1:45" s="221" customFormat="1">
      <c r="A4" s="223" t="s">
        <v>268</v>
      </c>
      <c r="T4" s="221" t="s">
        <v>269</v>
      </c>
    </row>
    <row r="5" spans="1:45" s="221" customFormat="1">
      <c r="A5" s="221" t="s">
        <v>152</v>
      </c>
    </row>
    <row r="6" spans="1:45" s="221" customFormat="1">
      <c r="A6" s="221" t="s">
        <v>270</v>
      </c>
      <c r="F6" s="224"/>
      <c r="G6" s="224"/>
      <c r="T6" s="225" t="s">
        <v>154</v>
      </c>
      <c r="U6" s="221">
        <f>'UNIFAC (VLE)'!C10</f>
        <v>25</v>
      </c>
      <c r="V6" s="221" t="s">
        <v>127</v>
      </c>
    </row>
    <row r="7" spans="1:45" ht="15">
      <c r="A7" s="222" t="s">
        <v>271</v>
      </c>
      <c r="F7" s="224"/>
      <c r="G7" s="224"/>
      <c r="H7" s="221"/>
      <c r="I7" s="221"/>
      <c r="J7" s="221"/>
      <c r="K7" s="221"/>
      <c r="L7" s="221"/>
      <c r="M7" s="221"/>
      <c r="U7" s="225"/>
      <c r="V7" s="224"/>
      <c r="W7" s="224"/>
      <c r="X7" s="224"/>
      <c r="Y7" s="226" t="s">
        <v>296</v>
      </c>
      <c r="Z7" s="224"/>
      <c r="AA7" s="224"/>
      <c r="AB7" s="224"/>
      <c r="AC7" s="222"/>
      <c r="AD7" s="222"/>
      <c r="AE7" s="222"/>
      <c r="AF7" s="222"/>
      <c r="AG7" s="222"/>
      <c r="AH7" s="222"/>
      <c r="AI7" s="222"/>
      <c r="AJ7" s="222"/>
      <c r="AK7" s="222"/>
      <c r="AL7" s="224"/>
      <c r="AM7" s="224"/>
      <c r="AN7" s="224"/>
      <c r="AO7" s="224"/>
      <c r="AP7" s="224"/>
      <c r="AQ7" s="224"/>
      <c r="AR7" s="224"/>
    </row>
    <row r="8" spans="1:45" s="228" customFormat="1">
      <c r="A8" s="227" t="s">
        <v>272</v>
      </c>
      <c r="F8" s="224"/>
      <c r="G8" s="224"/>
      <c r="H8" s="224"/>
      <c r="I8" s="224"/>
      <c r="J8" s="224"/>
      <c r="K8" s="224"/>
      <c r="L8" s="224"/>
      <c r="M8" s="224"/>
      <c r="T8" s="228" t="s">
        <v>273</v>
      </c>
      <c r="U8" s="229" t="s">
        <v>156</v>
      </c>
      <c r="V8" s="229"/>
      <c r="W8" s="229"/>
      <c r="Y8" s="229">
        <f>U10</f>
        <v>1</v>
      </c>
      <c r="Z8" s="228">
        <f>U11</f>
        <v>1</v>
      </c>
      <c r="AA8" s="228">
        <f>U12</f>
        <v>1</v>
      </c>
      <c r="AB8" s="228">
        <f>U13</f>
        <v>3</v>
      </c>
      <c r="AC8" s="228">
        <f>U14</f>
        <v>3</v>
      </c>
      <c r="AD8" s="228">
        <f>U15</f>
        <v>4</v>
      </c>
      <c r="AE8" s="228">
        <f>U16</f>
        <v>4</v>
      </c>
      <c r="AF8" s="228">
        <f>U17</f>
        <v>5</v>
      </c>
      <c r="AG8" s="228">
        <f>U18</f>
        <v>6</v>
      </c>
      <c r="AH8" s="228">
        <f>U19</f>
        <v>7</v>
      </c>
      <c r="AI8" s="228">
        <f>U20</f>
        <v>8</v>
      </c>
      <c r="AJ8" s="228">
        <f>U21</f>
        <v>9</v>
      </c>
      <c r="AK8" s="228">
        <f>U22</f>
        <v>10</v>
      </c>
      <c r="AL8" s="228">
        <f>U23</f>
        <v>11</v>
      </c>
      <c r="AM8" s="228">
        <f>U24</f>
        <v>14</v>
      </c>
      <c r="AN8" s="228">
        <f>U25</f>
        <v>17</v>
      </c>
      <c r="AO8" s="228">
        <f>U26</f>
        <v>20</v>
      </c>
      <c r="AP8" s="228">
        <f>U27</f>
        <v>22</v>
      </c>
      <c r="AQ8" s="228">
        <f>U28</f>
        <v>23</v>
      </c>
      <c r="AR8" s="228">
        <f>U29</f>
        <v>46</v>
      </c>
    </row>
    <row r="9" spans="1:45">
      <c r="A9" s="230"/>
      <c r="B9" s="225">
        <f>A10</f>
        <v>1</v>
      </c>
      <c r="C9" s="225">
        <f>A11</f>
        <v>2</v>
      </c>
      <c r="D9" s="225">
        <f>A12</f>
        <v>3</v>
      </c>
      <c r="E9" s="225">
        <f>A13</f>
        <v>4</v>
      </c>
      <c r="F9" s="225">
        <f>A14</f>
        <v>5</v>
      </c>
      <c r="G9" s="225">
        <f>A15</f>
        <v>6</v>
      </c>
      <c r="H9" s="225">
        <f>A16</f>
        <v>7</v>
      </c>
      <c r="I9" s="225">
        <f>A17</f>
        <v>8</v>
      </c>
      <c r="J9" s="225">
        <f>A18</f>
        <v>9</v>
      </c>
      <c r="K9" s="225">
        <f>A19</f>
        <v>10</v>
      </c>
      <c r="L9" s="225">
        <f>A20</f>
        <v>11</v>
      </c>
      <c r="M9" s="225">
        <f>A21</f>
        <v>14</v>
      </c>
      <c r="N9" s="225">
        <f>A22</f>
        <v>17</v>
      </c>
      <c r="O9" s="225">
        <f>A23</f>
        <v>20</v>
      </c>
      <c r="P9" s="225">
        <f>A24</f>
        <v>22</v>
      </c>
      <c r="Q9" s="225">
        <f>A25</f>
        <v>23</v>
      </c>
      <c r="R9" s="225">
        <f>A26</f>
        <v>46</v>
      </c>
      <c r="T9" s="221" t="s">
        <v>157</v>
      </c>
      <c r="U9" s="225" t="s">
        <v>157</v>
      </c>
      <c r="V9" s="224"/>
      <c r="W9" s="231" t="s">
        <v>158</v>
      </c>
      <c r="X9" s="232" t="s">
        <v>133</v>
      </c>
      <c r="Y9" s="231" t="str">
        <f>V10</f>
        <v>CH3</v>
      </c>
      <c r="Z9" s="231" t="str">
        <f>V11</f>
        <v>CH2</v>
      </c>
      <c r="AA9" s="231" t="str">
        <f>V12</f>
        <v>CH</v>
      </c>
      <c r="AB9" s="231" t="str">
        <f>V13</f>
        <v>ACH</v>
      </c>
      <c r="AC9" s="231" t="str">
        <f>V14</f>
        <v>AC</v>
      </c>
      <c r="AD9" s="231" t="str">
        <f>V15</f>
        <v>ACCH3</v>
      </c>
      <c r="AE9" s="231" t="str">
        <f>V16</f>
        <v>ACCH2</v>
      </c>
      <c r="AF9" s="231" t="str">
        <f>V17</f>
        <v>OH</v>
      </c>
      <c r="AG9" s="231" t="str">
        <f>V18</f>
        <v>CH3OH</v>
      </c>
      <c r="AH9" s="231" t="str">
        <f>V19</f>
        <v>H2O</v>
      </c>
      <c r="AI9" s="231" t="str">
        <f>V20</f>
        <v>ACOH</v>
      </c>
      <c r="AJ9" s="231" t="str">
        <f>V21</f>
        <v>CH3CO</v>
      </c>
      <c r="AK9" s="231" t="str">
        <f>V22</f>
        <v>CHO</v>
      </c>
      <c r="AL9" s="231" t="str">
        <f>V23</f>
        <v>CH3COO</v>
      </c>
      <c r="AM9" s="231" t="str">
        <f>V24</f>
        <v>CH2NH2</v>
      </c>
      <c r="AN9" s="231" t="str">
        <f>V25</f>
        <v>ACNH2</v>
      </c>
      <c r="AO9" s="231" t="str">
        <f>V26</f>
        <v>COOH</v>
      </c>
      <c r="AP9" s="231" t="str">
        <f>V27</f>
        <v>CCL2</v>
      </c>
      <c r="AQ9" s="231" t="str">
        <f>V28</f>
        <v>CCL3</v>
      </c>
      <c r="AR9" s="231" t="str">
        <f>V29</f>
        <v>CON(CH2)2</v>
      </c>
      <c r="AS9" s="233"/>
    </row>
    <row r="10" spans="1:45">
      <c r="A10" s="234">
        <v>1</v>
      </c>
      <c r="B10" s="235">
        <v>0</v>
      </c>
      <c r="C10" s="236">
        <v>86.02</v>
      </c>
      <c r="D10" s="236">
        <v>61.13</v>
      </c>
      <c r="E10" s="236">
        <v>76.5</v>
      </c>
      <c r="F10" s="236">
        <v>986.5</v>
      </c>
      <c r="G10" s="236">
        <v>697.2</v>
      </c>
      <c r="H10" s="236">
        <v>1318</v>
      </c>
      <c r="I10" s="236">
        <v>1333</v>
      </c>
      <c r="J10" s="236">
        <v>476.4</v>
      </c>
      <c r="K10" s="236">
        <v>677</v>
      </c>
      <c r="L10" s="236">
        <v>232.1</v>
      </c>
      <c r="M10" s="236">
        <v>391.5</v>
      </c>
      <c r="N10" s="236">
        <v>920.7</v>
      </c>
      <c r="O10" s="236">
        <v>663.5</v>
      </c>
      <c r="P10" s="236">
        <v>53.76</v>
      </c>
      <c r="Q10" s="236">
        <v>24.9</v>
      </c>
      <c r="R10" s="237">
        <v>380.9</v>
      </c>
      <c r="T10" s="221">
        <f>'UNIFAC (VLE)'!A23</f>
        <v>1</v>
      </c>
      <c r="U10" s="225">
        <f t="shared" ref="U10:U29" si="0">VLOOKUP($T10,$A$34:$E$63,2,FALSE)</f>
        <v>1</v>
      </c>
      <c r="V10" s="238" t="str">
        <f t="shared" ref="V10:V29" si="1">VLOOKUP($T10,$A$34:$E$63,3,FALSE)</f>
        <v>CH3</v>
      </c>
      <c r="W10" s="239">
        <f t="shared" ref="W10:W29" si="2">VLOOKUP($T10,$A$34:$E$63,4,FALSE)</f>
        <v>0.90110000000000001</v>
      </c>
      <c r="X10" s="239">
        <f t="shared" ref="X10:X29" si="3">VLOOKUP($T10,$A$34:$E$63,5,FALSE)</f>
        <v>0.84799999999999998</v>
      </c>
      <c r="Y10" s="240">
        <f t="shared" ref="Y10:Y29" si="4">INDEX(MGaij,MATCH($U10,row,0),MATCH(Y$8,column,0))</f>
        <v>0</v>
      </c>
      <c r="Z10" s="241">
        <f t="shared" ref="Z10:AR23" si="5">INDEX(MGaij,MATCH($U10,row,0),MATCH(Z$8,column,0))</f>
        <v>0</v>
      </c>
      <c r="AA10" s="241">
        <f t="shared" si="5"/>
        <v>0</v>
      </c>
      <c r="AB10" s="241">
        <f t="shared" si="5"/>
        <v>61.13</v>
      </c>
      <c r="AC10" s="241">
        <f t="shared" si="5"/>
        <v>61.13</v>
      </c>
      <c r="AD10" s="241">
        <f t="shared" si="5"/>
        <v>76.5</v>
      </c>
      <c r="AE10" s="241">
        <f t="shared" si="5"/>
        <v>76.5</v>
      </c>
      <c r="AF10" s="241">
        <f t="shared" si="5"/>
        <v>986.5</v>
      </c>
      <c r="AG10" s="241">
        <f t="shared" si="5"/>
        <v>697.2</v>
      </c>
      <c r="AH10" s="241">
        <f t="shared" si="5"/>
        <v>1318</v>
      </c>
      <c r="AI10" s="241">
        <f t="shared" si="5"/>
        <v>1333</v>
      </c>
      <c r="AJ10" s="241">
        <f t="shared" si="5"/>
        <v>476.4</v>
      </c>
      <c r="AK10" s="241">
        <f t="shared" si="5"/>
        <v>677</v>
      </c>
      <c r="AL10" s="241">
        <f t="shared" si="5"/>
        <v>232.1</v>
      </c>
      <c r="AM10" s="241">
        <f t="shared" si="5"/>
        <v>391.5</v>
      </c>
      <c r="AN10" s="241">
        <f t="shared" si="5"/>
        <v>920.7</v>
      </c>
      <c r="AO10" s="241">
        <f t="shared" si="5"/>
        <v>663.5</v>
      </c>
      <c r="AP10" s="241">
        <f t="shared" si="5"/>
        <v>53.76</v>
      </c>
      <c r="AQ10" s="241">
        <f t="shared" si="5"/>
        <v>24.9</v>
      </c>
      <c r="AR10" s="241">
        <f t="shared" si="5"/>
        <v>380.9</v>
      </c>
      <c r="AS10" s="238" t="str">
        <f t="shared" ref="AS10:AS29" si="6">V10</f>
        <v>CH3</v>
      </c>
    </row>
    <row r="11" spans="1:45">
      <c r="A11" s="234">
        <v>2</v>
      </c>
      <c r="B11" s="242">
        <v>-35.36</v>
      </c>
      <c r="C11" s="243">
        <v>0</v>
      </c>
      <c r="D11" s="243">
        <v>38.81</v>
      </c>
      <c r="E11" s="243">
        <v>74.150000000000006</v>
      </c>
      <c r="F11" s="243">
        <v>524.1</v>
      </c>
      <c r="G11" s="243">
        <v>787.6</v>
      </c>
      <c r="H11" s="243">
        <v>270.60000000000002</v>
      </c>
      <c r="I11" s="243">
        <v>526.1</v>
      </c>
      <c r="J11" s="243">
        <v>182.6</v>
      </c>
      <c r="K11" s="243">
        <v>448.8</v>
      </c>
      <c r="L11" s="243">
        <v>37.85</v>
      </c>
      <c r="M11" s="243">
        <v>240.9</v>
      </c>
      <c r="N11" s="243">
        <v>749.3</v>
      </c>
      <c r="O11" s="243">
        <v>318.89999999999998</v>
      </c>
      <c r="P11" s="243">
        <v>58.55</v>
      </c>
      <c r="Q11" s="243">
        <v>-13.99</v>
      </c>
      <c r="R11" s="244">
        <v>200.2</v>
      </c>
      <c r="T11" s="221">
        <f>'UNIFAC (VLE)'!A24</f>
        <v>2</v>
      </c>
      <c r="U11" s="225">
        <f t="shared" si="0"/>
        <v>1</v>
      </c>
      <c r="V11" s="238" t="str">
        <f t="shared" si="1"/>
        <v>CH2</v>
      </c>
      <c r="W11" s="239">
        <f t="shared" si="2"/>
        <v>0.6744</v>
      </c>
      <c r="X11" s="239">
        <f t="shared" si="3"/>
        <v>0.54</v>
      </c>
      <c r="Y11" s="245">
        <f t="shared" si="4"/>
        <v>0</v>
      </c>
      <c r="Z11" s="239">
        <f t="shared" si="5"/>
        <v>0</v>
      </c>
      <c r="AA11" s="239">
        <f t="shared" si="5"/>
        <v>0</v>
      </c>
      <c r="AB11" s="239">
        <f t="shared" si="5"/>
        <v>61.13</v>
      </c>
      <c r="AC11" s="239">
        <f t="shared" si="5"/>
        <v>61.13</v>
      </c>
      <c r="AD11" s="239">
        <f t="shared" si="5"/>
        <v>76.5</v>
      </c>
      <c r="AE11" s="239">
        <f t="shared" si="5"/>
        <v>76.5</v>
      </c>
      <c r="AF11" s="239">
        <f t="shared" si="5"/>
        <v>986.5</v>
      </c>
      <c r="AG11" s="239">
        <f t="shared" si="5"/>
        <v>697.2</v>
      </c>
      <c r="AH11" s="239">
        <f t="shared" si="5"/>
        <v>1318</v>
      </c>
      <c r="AI11" s="239">
        <f t="shared" si="5"/>
        <v>1333</v>
      </c>
      <c r="AJ11" s="239">
        <f t="shared" si="5"/>
        <v>476.4</v>
      </c>
      <c r="AK11" s="239">
        <f t="shared" si="5"/>
        <v>677</v>
      </c>
      <c r="AL11" s="239">
        <f t="shared" si="5"/>
        <v>232.1</v>
      </c>
      <c r="AM11" s="239">
        <f t="shared" si="5"/>
        <v>391.5</v>
      </c>
      <c r="AN11" s="239">
        <f t="shared" si="5"/>
        <v>920.7</v>
      </c>
      <c r="AO11" s="239">
        <f t="shared" si="5"/>
        <v>663.5</v>
      </c>
      <c r="AP11" s="239">
        <f t="shared" si="5"/>
        <v>53.76</v>
      </c>
      <c r="AQ11" s="239">
        <f t="shared" si="5"/>
        <v>24.9</v>
      </c>
      <c r="AR11" s="246">
        <f t="shared" si="5"/>
        <v>380.9</v>
      </c>
      <c r="AS11" s="238" t="str">
        <f t="shared" si="6"/>
        <v>CH2</v>
      </c>
    </row>
    <row r="12" spans="1:45">
      <c r="A12" s="234">
        <v>3</v>
      </c>
      <c r="B12" s="242">
        <v>-11.12</v>
      </c>
      <c r="C12" s="243">
        <v>3.4460000000000002</v>
      </c>
      <c r="D12" s="243">
        <v>0</v>
      </c>
      <c r="E12" s="243">
        <v>167</v>
      </c>
      <c r="F12" s="243">
        <v>636.1</v>
      </c>
      <c r="G12" s="243">
        <v>637.29999999999995</v>
      </c>
      <c r="H12" s="243">
        <v>903.8</v>
      </c>
      <c r="I12" s="243">
        <v>1329</v>
      </c>
      <c r="J12" s="243">
        <v>25.77</v>
      </c>
      <c r="K12" s="243">
        <v>347.3</v>
      </c>
      <c r="L12" s="243">
        <v>5.9939999999999998</v>
      </c>
      <c r="M12" s="243">
        <v>161.69999999999999</v>
      </c>
      <c r="N12" s="243">
        <v>648.20000000000005</v>
      </c>
      <c r="O12" s="243">
        <v>537.4</v>
      </c>
      <c r="P12" s="243">
        <v>-144.4</v>
      </c>
      <c r="Q12" s="243">
        <v>-231.9</v>
      </c>
      <c r="R12" s="244"/>
      <c r="T12" s="221">
        <f>'UNIFAC (VLE)'!A25</f>
        <v>3</v>
      </c>
      <c r="U12" s="225">
        <f t="shared" si="0"/>
        <v>1</v>
      </c>
      <c r="V12" s="238" t="str">
        <f t="shared" si="1"/>
        <v>CH</v>
      </c>
      <c r="W12" s="239">
        <f t="shared" si="2"/>
        <v>0.44690000000000002</v>
      </c>
      <c r="X12" s="239">
        <f t="shared" si="3"/>
        <v>0.22800000000000001</v>
      </c>
      <c r="Y12" s="245">
        <f t="shared" si="4"/>
        <v>0</v>
      </c>
      <c r="Z12" s="239">
        <f t="shared" si="5"/>
        <v>0</v>
      </c>
      <c r="AA12" s="239">
        <f t="shared" si="5"/>
        <v>0</v>
      </c>
      <c r="AB12" s="239">
        <f t="shared" si="5"/>
        <v>61.13</v>
      </c>
      <c r="AC12" s="239">
        <f t="shared" si="5"/>
        <v>61.13</v>
      </c>
      <c r="AD12" s="239">
        <f t="shared" si="5"/>
        <v>76.5</v>
      </c>
      <c r="AE12" s="239">
        <f t="shared" si="5"/>
        <v>76.5</v>
      </c>
      <c r="AF12" s="239">
        <f t="shared" si="5"/>
        <v>986.5</v>
      </c>
      <c r="AG12" s="239">
        <f t="shared" si="5"/>
        <v>697.2</v>
      </c>
      <c r="AH12" s="239">
        <f t="shared" si="5"/>
        <v>1318</v>
      </c>
      <c r="AI12" s="239">
        <f t="shared" si="5"/>
        <v>1333</v>
      </c>
      <c r="AJ12" s="239">
        <f t="shared" si="5"/>
        <v>476.4</v>
      </c>
      <c r="AK12" s="239">
        <f t="shared" si="5"/>
        <v>677</v>
      </c>
      <c r="AL12" s="239">
        <f t="shared" si="5"/>
        <v>232.1</v>
      </c>
      <c r="AM12" s="239">
        <f t="shared" si="5"/>
        <v>391.5</v>
      </c>
      <c r="AN12" s="239">
        <f t="shared" si="5"/>
        <v>920.7</v>
      </c>
      <c r="AO12" s="239">
        <f t="shared" si="5"/>
        <v>663.5</v>
      </c>
      <c r="AP12" s="239">
        <f t="shared" si="5"/>
        <v>53.76</v>
      </c>
      <c r="AQ12" s="239">
        <f t="shared" si="5"/>
        <v>24.9</v>
      </c>
      <c r="AR12" s="246">
        <f t="shared" si="5"/>
        <v>380.9</v>
      </c>
      <c r="AS12" s="238" t="str">
        <f t="shared" si="6"/>
        <v>CH</v>
      </c>
    </row>
    <row r="13" spans="1:45">
      <c r="A13" s="234">
        <v>4</v>
      </c>
      <c r="B13" s="242">
        <v>-69.7</v>
      </c>
      <c r="C13" s="243">
        <v>-113.6</v>
      </c>
      <c r="D13" s="243">
        <v>-146.80000000000001</v>
      </c>
      <c r="E13" s="243">
        <v>0</v>
      </c>
      <c r="F13" s="243">
        <v>803.2</v>
      </c>
      <c r="G13" s="243">
        <v>603.20000000000005</v>
      </c>
      <c r="H13" s="243">
        <v>5695</v>
      </c>
      <c r="I13" s="243">
        <v>884.9</v>
      </c>
      <c r="J13" s="243">
        <v>-52.1</v>
      </c>
      <c r="K13" s="243">
        <v>586.6</v>
      </c>
      <c r="L13" s="243">
        <v>5688</v>
      </c>
      <c r="M13" s="243">
        <v>19.02</v>
      </c>
      <c r="N13" s="243">
        <v>664.2</v>
      </c>
      <c r="O13" s="243">
        <v>872.3</v>
      </c>
      <c r="P13" s="243">
        <v>-111</v>
      </c>
      <c r="Q13" s="243">
        <v>-80.25</v>
      </c>
      <c r="R13" s="244"/>
      <c r="T13" s="221">
        <f>'UNIFAC (VLE)'!A26</f>
        <v>9</v>
      </c>
      <c r="U13" s="225">
        <f t="shared" si="0"/>
        <v>3</v>
      </c>
      <c r="V13" s="238" t="str">
        <f t="shared" si="1"/>
        <v>ACH</v>
      </c>
      <c r="W13" s="239">
        <f t="shared" si="2"/>
        <v>0.53129999999999999</v>
      </c>
      <c r="X13" s="239">
        <f t="shared" si="3"/>
        <v>0.4</v>
      </c>
      <c r="Y13" s="245">
        <f t="shared" si="4"/>
        <v>-11.12</v>
      </c>
      <c r="Z13" s="239">
        <f t="shared" si="5"/>
        <v>-11.12</v>
      </c>
      <c r="AA13" s="239">
        <f t="shared" si="5"/>
        <v>-11.12</v>
      </c>
      <c r="AB13" s="239">
        <f t="shared" si="5"/>
        <v>0</v>
      </c>
      <c r="AC13" s="239">
        <f t="shared" si="5"/>
        <v>0</v>
      </c>
      <c r="AD13" s="239">
        <f t="shared" si="5"/>
        <v>167</v>
      </c>
      <c r="AE13" s="239">
        <f t="shared" si="5"/>
        <v>167</v>
      </c>
      <c r="AF13" s="239">
        <f t="shared" si="5"/>
        <v>636.1</v>
      </c>
      <c r="AG13" s="239">
        <f t="shared" si="5"/>
        <v>637.29999999999995</v>
      </c>
      <c r="AH13" s="239">
        <f t="shared" si="5"/>
        <v>903.8</v>
      </c>
      <c r="AI13" s="239">
        <f t="shared" si="5"/>
        <v>1329</v>
      </c>
      <c r="AJ13" s="239">
        <f t="shared" si="5"/>
        <v>25.77</v>
      </c>
      <c r="AK13" s="239">
        <f t="shared" si="5"/>
        <v>347.3</v>
      </c>
      <c r="AL13" s="239">
        <f t="shared" si="5"/>
        <v>5.9939999999999998</v>
      </c>
      <c r="AM13" s="239">
        <f t="shared" si="5"/>
        <v>161.69999999999999</v>
      </c>
      <c r="AN13" s="239">
        <f t="shared" si="5"/>
        <v>648.20000000000005</v>
      </c>
      <c r="AO13" s="239">
        <f t="shared" si="5"/>
        <v>537.4</v>
      </c>
      <c r="AP13" s="239">
        <f t="shared" si="5"/>
        <v>-144.4</v>
      </c>
      <c r="AQ13" s="239">
        <f t="shared" si="5"/>
        <v>-231.9</v>
      </c>
      <c r="AR13" s="246">
        <f t="shared" si="5"/>
        <v>0</v>
      </c>
      <c r="AS13" s="238" t="str">
        <f t="shared" si="6"/>
        <v>ACH</v>
      </c>
    </row>
    <row r="14" spans="1:45">
      <c r="A14" s="234">
        <v>5</v>
      </c>
      <c r="B14" s="242">
        <v>156.4</v>
      </c>
      <c r="C14" s="243">
        <v>457</v>
      </c>
      <c r="D14" s="243">
        <v>89.6</v>
      </c>
      <c r="E14" s="243">
        <v>25.82</v>
      </c>
      <c r="F14" s="243">
        <v>0</v>
      </c>
      <c r="G14" s="243">
        <v>-137.1</v>
      </c>
      <c r="H14" s="243">
        <v>353.5</v>
      </c>
      <c r="I14" s="243">
        <v>-259.7</v>
      </c>
      <c r="J14" s="243">
        <v>84</v>
      </c>
      <c r="K14" s="243">
        <v>-203.6</v>
      </c>
      <c r="L14" s="243">
        <v>101.1</v>
      </c>
      <c r="M14" s="243">
        <v>8.6419999999999995</v>
      </c>
      <c r="N14" s="243">
        <v>-52.39</v>
      </c>
      <c r="O14" s="243">
        <v>199</v>
      </c>
      <c r="P14" s="243">
        <v>65.28</v>
      </c>
      <c r="Q14" s="243">
        <v>-98.12</v>
      </c>
      <c r="R14" s="244">
        <v>-382.7</v>
      </c>
      <c r="T14" s="221">
        <f>'UNIFAC (VLE)'!A27</f>
        <v>10</v>
      </c>
      <c r="U14" s="225">
        <f t="shared" si="0"/>
        <v>3</v>
      </c>
      <c r="V14" s="238" t="str">
        <f t="shared" si="1"/>
        <v>AC</v>
      </c>
      <c r="W14" s="239">
        <f t="shared" si="2"/>
        <v>0.36520000000000002</v>
      </c>
      <c r="X14" s="239">
        <f t="shared" si="3"/>
        <v>0.12</v>
      </c>
      <c r="Y14" s="245">
        <f t="shared" si="4"/>
        <v>-11.12</v>
      </c>
      <c r="Z14" s="239">
        <f t="shared" si="5"/>
        <v>-11.12</v>
      </c>
      <c r="AA14" s="239">
        <f t="shared" si="5"/>
        <v>-11.12</v>
      </c>
      <c r="AB14" s="239">
        <f t="shared" si="5"/>
        <v>0</v>
      </c>
      <c r="AC14" s="239">
        <f t="shared" si="5"/>
        <v>0</v>
      </c>
      <c r="AD14" s="239">
        <f t="shared" si="5"/>
        <v>167</v>
      </c>
      <c r="AE14" s="239">
        <f t="shared" si="5"/>
        <v>167</v>
      </c>
      <c r="AF14" s="239">
        <f t="shared" si="5"/>
        <v>636.1</v>
      </c>
      <c r="AG14" s="239">
        <f t="shared" si="5"/>
        <v>637.29999999999995</v>
      </c>
      <c r="AH14" s="239">
        <f t="shared" si="5"/>
        <v>903.8</v>
      </c>
      <c r="AI14" s="239">
        <f t="shared" si="5"/>
        <v>1329</v>
      </c>
      <c r="AJ14" s="239">
        <f t="shared" si="5"/>
        <v>25.77</v>
      </c>
      <c r="AK14" s="239">
        <f t="shared" si="5"/>
        <v>347.3</v>
      </c>
      <c r="AL14" s="239">
        <f t="shared" si="5"/>
        <v>5.9939999999999998</v>
      </c>
      <c r="AM14" s="239">
        <f t="shared" si="5"/>
        <v>161.69999999999999</v>
      </c>
      <c r="AN14" s="239">
        <f t="shared" si="5"/>
        <v>648.20000000000005</v>
      </c>
      <c r="AO14" s="239">
        <f t="shared" si="5"/>
        <v>537.4</v>
      </c>
      <c r="AP14" s="239">
        <f t="shared" si="5"/>
        <v>-144.4</v>
      </c>
      <c r="AQ14" s="239">
        <f t="shared" si="5"/>
        <v>-231.9</v>
      </c>
      <c r="AR14" s="246">
        <f t="shared" si="5"/>
        <v>0</v>
      </c>
      <c r="AS14" s="238" t="str">
        <f t="shared" si="6"/>
        <v>AC</v>
      </c>
    </row>
    <row r="15" spans="1:45">
      <c r="A15" s="234">
        <v>6</v>
      </c>
      <c r="B15" s="242">
        <v>16.510000000000002</v>
      </c>
      <c r="C15" s="243">
        <v>-12.52</v>
      </c>
      <c r="D15" s="243">
        <v>-50</v>
      </c>
      <c r="E15" s="243">
        <v>-44.5</v>
      </c>
      <c r="F15" s="243">
        <v>249.1</v>
      </c>
      <c r="G15" s="243">
        <v>0</v>
      </c>
      <c r="H15" s="243">
        <v>-181</v>
      </c>
      <c r="I15" s="243">
        <v>-101.7</v>
      </c>
      <c r="J15" s="243">
        <v>23.39</v>
      </c>
      <c r="K15" s="243">
        <v>306.39999999999998</v>
      </c>
      <c r="L15" s="243">
        <v>-10.72</v>
      </c>
      <c r="M15" s="243">
        <v>359.3</v>
      </c>
      <c r="N15" s="243">
        <v>489.7</v>
      </c>
      <c r="O15" s="243">
        <v>-202</v>
      </c>
      <c r="P15" s="243">
        <v>-102.5</v>
      </c>
      <c r="Q15" s="243">
        <v>-139.4</v>
      </c>
      <c r="R15" s="244"/>
      <c r="T15" s="221">
        <f>'UNIFAC (VLE)'!A28</f>
        <v>11</v>
      </c>
      <c r="U15" s="225">
        <f t="shared" si="0"/>
        <v>4</v>
      </c>
      <c r="V15" s="238" t="str">
        <f t="shared" si="1"/>
        <v>ACCH3</v>
      </c>
      <c r="W15" s="239">
        <f t="shared" si="2"/>
        <v>1.2663</v>
      </c>
      <c r="X15" s="239">
        <f t="shared" si="3"/>
        <v>0.96799999999999997</v>
      </c>
      <c r="Y15" s="245">
        <f t="shared" si="4"/>
        <v>-69.7</v>
      </c>
      <c r="Z15" s="239">
        <f t="shared" si="5"/>
        <v>-69.7</v>
      </c>
      <c r="AA15" s="239">
        <f t="shared" si="5"/>
        <v>-69.7</v>
      </c>
      <c r="AB15" s="239">
        <f t="shared" si="5"/>
        <v>-146.80000000000001</v>
      </c>
      <c r="AC15" s="239">
        <f t="shared" si="5"/>
        <v>-146.80000000000001</v>
      </c>
      <c r="AD15" s="239">
        <f t="shared" si="5"/>
        <v>0</v>
      </c>
      <c r="AE15" s="239">
        <f t="shared" si="5"/>
        <v>0</v>
      </c>
      <c r="AF15" s="239">
        <f t="shared" si="5"/>
        <v>803.2</v>
      </c>
      <c r="AG15" s="239">
        <f t="shared" si="5"/>
        <v>603.20000000000005</v>
      </c>
      <c r="AH15" s="239">
        <f t="shared" si="5"/>
        <v>5695</v>
      </c>
      <c r="AI15" s="239">
        <f t="shared" si="5"/>
        <v>884.9</v>
      </c>
      <c r="AJ15" s="239">
        <f t="shared" si="5"/>
        <v>-52.1</v>
      </c>
      <c r="AK15" s="239">
        <f t="shared" si="5"/>
        <v>586.6</v>
      </c>
      <c r="AL15" s="239">
        <f t="shared" si="5"/>
        <v>5688</v>
      </c>
      <c r="AM15" s="239">
        <f t="shared" si="5"/>
        <v>19.02</v>
      </c>
      <c r="AN15" s="239">
        <f t="shared" si="5"/>
        <v>664.2</v>
      </c>
      <c r="AO15" s="239">
        <f t="shared" si="5"/>
        <v>872.3</v>
      </c>
      <c r="AP15" s="239">
        <f t="shared" si="5"/>
        <v>-111</v>
      </c>
      <c r="AQ15" s="239">
        <f t="shared" si="5"/>
        <v>-80.25</v>
      </c>
      <c r="AR15" s="246">
        <f t="shared" si="5"/>
        <v>0</v>
      </c>
      <c r="AS15" s="238" t="str">
        <f t="shared" si="6"/>
        <v>ACCH3</v>
      </c>
    </row>
    <row r="16" spans="1:45">
      <c r="A16" s="234">
        <v>7</v>
      </c>
      <c r="B16" s="242">
        <v>300</v>
      </c>
      <c r="C16" s="243">
        <v>496.1</v>
      </c>
      <c r="D16" s="243">
        <v>362.3</v>
      </c>
      <c r="E16" s="243">
        <v>377.6</v>
      </c>
      <c r="F16" s="243">
        <v>-229.1</v>
      </c>
      <c r="G16" s="243">
        <v>289.60000000000002</v>
      </c>
      <c r="H16" s="243">
        <v>0</v>
      </c>
      <c r="I16" s="243">
        <v>324.5</v>
      </c>
      <c r="J16" s="243">
        <v>-195.4</v>
      </c>
      <c r="K16" s="243">
        <v>-116</v>
      </c>
      <c r="L16" s="243">
        <v>72.87</v>
      </c>
      <c r="M16" s="243">
        <v>48.89</v>
      </c>
      <c r="N16" s="243">
        <v>243.2</v>
      </c>
      <c r="O16" s="243">
        <v>-14.09</v>
      </c>
      <c r="P16" s="243">
        <v>370.4</v>
      </c>
      <c r="Q16" s="243">
        <v>353.7</v>
      </c>
      <c r="R16" s="244">
        <v>835.6</v>
      </c>
      <c r="T16" s="221">
        <f>'UNIFAC (VLE)'!A29</f>
        <v>12</v>
      </c>
      <c r="U16" s="225">
        <f t="shared" si="0"/>
        <v>4</v>
      </c>
      <c r="V16" s="238" t="str">
        <f t="shared" si="1"/>
        <v>ACCH2</v>
      </c>
      <c r="W16" s="239">
        <f t="shared" si="2"/>
        <v>1.0396000000000001</v>
      </c>
      <c r="X16" s="239">
        <f t="shared" si="3"/>
        <v>0.66</v>
      </c>
      <c r="Y16" s="245">
        <f t="shared" si="4"/>
        <v>-69.7</v>
      </c>
      <c r="Z16" s="239">
        <f t="shared" si="5"/>
        <v>-69.7</v>
      </c>
      <c r="AA16" s="239">
        <f t="shared" si="5"/>
        <v>-69.7</v>
      </c>
      <c r="AB16" s="239">
        <f t="shared" si="5"/>
        <v>-146.80000000000001</v>
      </c>
      <c r="AC16" s="239">
        <f t="shared" si="5"/>
        <v>-146.80000000000001</v>
      </c>
      <c r="AD16" s="239">
        <f t="shared" si="5"/>
        <v>0</v>
      </c>
      <c r="AE16" s="239">
        <f t="shared" si="5"/>
        <v>0</v>
      </c>
      <c r="AF16" s="239">
        <f t="shared" si="5"/>
        <v>803.2</v>
      </c>
      <c r="AG16" s="239">
        <f t="shared" si="5"/>
        <v>603.20000000000005</v>
      </c>
      <c r="AH16" s="239">
        <f t="shared" si="5"/>
        <v>5695</v>
      </c>
      <c r="AI16" s="239">
        <f t="shared" si="5"/>
        <v>884.9</v>
      </c>
      <c r="AJ16" s="239">
        <f t="shared" si="5"/>
        <v>-52.1</v>
      </c>
      <c r="AK16" s="239">
        <f t="shared" si="5"/>
        <v>586.6</v>
      </c>
      <c r="AL16" s="239">
        <f t="shared" si="5"/>
        <v>5688</v>
      </c>
      <c r="AM16" s="239">
        <f t="shared" si="5"/>
        <v>19.02</v>
      </c>
      <c r="AN16" s="239">
        <f t="shared" si="5"/>
        <v>664.2</v>
      </c>
      <c r="AO16" s="239">
        <f t="shared" si="5"/>
        <v>872.3</v>
      </c>
      <c r="AP16" s="239">
        <f t="shared" si="5"/>
        <v>-111</v>
      </c>
      <c r="AQ16" s="239">
        <f t="shared" si="5"/>
        <v>-80.25</v>
      </c>
      <c r="AR16" s="246">
        <f t="shared" si="5"/>
        <v>0</v>
      </c>
      <c r="AS16" s="238" t="str">
        <f t="shared" si="6"/>
        <v>ACCH2</v>
      </c>
    </row>
    <row r="17" spans="1:45">
      <c r="A17" s="234">
        <v>8</v>
      </c>
      <c r="B17" s="242">
        <v>275.8</v>
      </c>
      <c r="C17" s="243">
        <v>217.5</v>
      </c>
      <c r="D17" s="243">
        <v>25.34</v>
      </c>
      <c r="E17" s="243">
        <v>244.2</v>
      </c>
      <c r="F17" s="243">
        <v>-451.6</v>
      </c>
      <c r="G17" s="243">
        <v>-265.2</v>
      </c>
      <c r="H17" s="243">
        <v>-601.79999999999995</v>
      </c>
      <c r="I17" s="243">
        <v>0</v>
      </c>
      <c r="J17" s="243">
        <v>-356.1</v>
      </c>
      <c r="K17" s="243">
        <v>-271.10000000000002</v>
      </c>
      <c r="L17" s="243">
        <v>-449.4</v>
      </c>
      <c r="M17" s="243"/>
      <c r="N17" s="243">
        <v>119.9</v>
      </c>
      <c r="O17" s="243">
        <v>408.9</v>
      </c>
      <c r="P17" s="243"/>
      <c r="Q17" s="243"/>
      <c r="R17" s="244"/>
      <c r="T17" s="221">
        <f>'UNIFAC (VLE)'!A30</f>
        <v>14</v>
      </c>
      <c r="U17" s="225">
        <f t="shared" si="0"/>
        <v>5</v>
      </c>
      <c r="V17" s="238" t="str">
        <f t="shared" si="1"/>
        <v>OH</v>
      </c>
      <c r="W17" s="239">
        <f t="shared" si="2"/>
        <v>1</v>
      </c>
      <c r="X17" s="239">
        <f t="shared" si="3"/>
        <v>1.2</v>
      </c>
      <c r="Y17" s="245">
        <f t="shared" si="4"/>
        <v>156.4</v>
      </c>
      <c r="Z17" s="239">
        <f t="shared" si="5"/>
        <v>156.4</v>
      </c>
      <c r="AA17" s="239">
        <f t="shared" si="5"/>
        <v>156.4</v>
      </c>
      <c r="AB17" s="239">
        <f t="shared" si="5"/>
        <v>89.6</v>
      </c>
      <c r="AC17" s="239">
        <f t="shared" si="5"/>
        <v>89.6</v>
      </c>
      <c r="AD17" s="239">
        <f t="shared" si="5"/>
        <v>25.82</v>
      </c>
      <c r="AE17" s="239">
        <f t="shared" si="5"/>
        <v>25.82</v>
      </c>
      <c r="AF17" s="239">
        <f t="shared" si="5"/>
        <v>0</v>
      </c>
      <c r="AG17" s="239">
        <f t="shared" si="5"/>
        <v>-137.1</v>
      </c>
      <c r="AH17" s="239">
        <f t="shared" si="5"/>
        <v>353.5</v>
      </c>
      <c r="AI17" s="239">
        <f t="shared" si="5"/>
        <v>-259.7</v>
      </c>
      <c r="AJ17" s="239">
        <f t="shared" si="5"/>
        <v>84</v>
      </c>
      <c r="AK17" s="239">
        <f t="shared" si="5"/>
        <v>-203.6</v>
      </c>
      <c r="AL17" s="239">
        <f t="shared" si="5"/>
        <v>101.1</v>
      </c>
      <c r="AM17" s="239">
        <f t="shared" si="5"/>
        <v>8.6419999999999995</v>
      </c>
      <c r="AN17" s="239">
        <f t="shared" si="5"/>
        <v>-52.39</v>
      </c>
      <c r="AO17" s="239">
        <f t="shared" si="5"/>
        <v>199</v>
      </c>
      <c r="AP17" s="239">
        <f t="shared" si="5"/>
        <v>65.28</v>
      </c>
      <c r="AQ17" s="239">
        <f t="shared" si="5"/>
        <v>-98.12</v>
      </c>
      <c r="AR17" s="246">
        <f t="shared" si="5"/>
        <v>-382.7</v>
      </c>
      <c r="AS17" s="238" t="str">
        <f t="shared" si="6"/>
        <v>OH</v>
      </c>
    </row>
    <row r="18" spans="1:45">
      <c r="A18" s="234">
        <v>9</v>
      </c>
      <c r="B18" s="242">
        <v>26.76</v>
      </c>
      <c r="C18" s="243">
        <v>42.92</v>
      </c>
      <c r="D18" s="243">
        <v>140.1</v>
      </c>
      <c r="E18" s="243">
        <v>365.8</v>
      </c>
      <c r="F18" s="243">
        <v>164.5</v>
      </c>
      <c r="G18" s="243">
        <v>108.7</v>
      </c>
      <c r="H18" s="243">
        <v>472.5</v>
      </c>
      <c r="I18" s="243">
        <v>-133.1</v>
      </c>
      <c r="J18" s="243">
        <v>0</v>
      </c>
      <c r="K18" s="243">
        <v>-37.36</v>
      </c>
      <c r="L18" s="243">
        <v>-213.7</v>
      </c>
      <c r="M18" s="243"/>
      <c r="N18" s="243">
        <v>6201</v>
      </c>
      <c r="O18" s="243">
        <v>669.4</v>
      </c>
      <c r="P18" s="243">
        <v>-130.30000000000001</v>
      </c>
      <c r="Q18" s="243">
        <v>-354.6</v>
      </c>
      <c r="R18" s="244"/>
      <c r="T18" s="221">
        <f>'UNIFAC (VLE)'!A31</f>
        <v>15</v>
      </c>
      <c r="U18" s="225">
        <f t="shared" si="0"/>
        <v>6</v>
      </c>
      <c r="V18" s="238" t="str">
        <f t="shared" si="1"/>
        <v>CH3OH</v>
      </c>
      <c r="W18" s="239">
        <f t="shared" si="2"/>
        <v>1.4311</v>
      </c>
      <c r="X18" s="239">
        <f t="shared" si="3"/>
        <v>1.4319999999999999</v>
      </c>
      <c r="Y18" s="245">
        <f t="shared" si="4"/>
        <v>16.510000000000002</v>
      </c>
      <c r="Z18" s="239">
        <f t="shared" si="5"/>
        <v>16.510000000000002</v>
      </c>
      <c r="AA18" s="239">
        <f t="shared" si="5"/>
        <v>16.510000000000002</v>
      </c>
      <c r="AB18" s="239">
        <f t="shared" si="5"/>
        <v>-50</v>
      </c>
      <c r="AC18" s="239">
        <f t="shared" si="5"/>
        <v>-50</v>
      </c>
      <c r="AD18" s="239">
        <f t="shared" si="5"/>
        <v>-44.5</v>
      </c>
      <c r="AE18" s="239">
        <f t="shared" si="5"/>
        <v>-44.5</v>
      </c>
      <c r="AF18" s="239">
        <f t="shared" si="5"/>
        <v>249.1</v>
      </c>
      <c r="AG18" s="239">
        <f t="shared" si="5"/>
        <v>0</v>
      </c>
      <c r="AH18" s="239">
        <f t="shared" si="5"/>
        <v>-181</v>
      </c>
      <c r="AI18" s="239">
        <f t="shared" si="5"/>
        <v>-101.7</v>
      </c>
      <c r="AJ18" s="239">
        <f t="shared" si="5"/>
        <v>23.39</v>
      </c>
      <c r="AK18" s="239">
        <f t="shared" si="5"/>
        <v>306.39999999999998</v>
      </c>
      <c r="AL18" s="239">
        <f t="shared" si="5"/>
        <v>-10.72</v>
      </c>
      <c r="AM18" s="239">
        <f t="shared" si="5"/>
        <v>359.3</v>
      </c>
      <c r="AN18" s="239">
        <f t="shared" si="5"/>
        <v>489.7</v>
      </c>
      <c r="AO18" s="239">
        <f t="shared" si="5"/>
        <v>-202</v>
      </c>
      <c r="AP18" s="239">
        <f t="shared" si="5"/>
        <v>-102.5</v>
      </c>
      <c r="AQ18" s="239">
        <f t="shared" si="5"/>
        <v>-139.4</v>
      </c>
      <c r="AR18" s="246">
        <f t="shared" si="5"/>
        <v>0</v>
      </c>
      <c r="AS18" s="238" t="str">
        <f t="shared" si="6"/>
        <v>CH3OH</v>
      </c>
    </row>
    <row r="19" spans="1:45">
      <c r="A19" s="234">
        <v>10</v>
      </c>
      <c r="B19" s="242">
        <v>505.7</v>
      </c>
      <c r="C19" s="243">
        <v>56.3</v>
      </c>
      <c r="D19" s="243">
        <v>23.39</v>
      </c>
      <c r="E19" s="243">
        <v>106</v>
      </c>
      <c r="F19" s="243">
        <v>529</v>
      </c>
      <c r="G19" s="243">
        <v>-340.2</v>
      </c>
      <c r="H19" s="243">
        <v>480.8</v>
      </c>
      <c r="I19" s="243">
        <v>-155.6</v>
      </c>
      <c r="J19" s="243">
        <v>128</v>
      </c>
      <c r="K19" s="243">
        <v>0</v>
      </c>
      <c r="L19" s="243">
        <v>-110.3</v>
      </c>
      <c r="M19" s="243"/>
      <c r="N19" s="243"/>
      <c r="O19" s="243">
        <v>497.5</v>
      </c>
      <c r="P19" s="243">
        <v>67.52</v>
      </c>
      <c r="Q19" s="243">
        <v>-483.7</v>
      </c>
      <c r="R19" s="244"/>
      <c r="T19" s="221">
        <f>'UNIFAC (VLE)'!A32</f>
        <v>16</v>
      </c>
      <c r="U19" s="225">
        <f t="shared" si="0"/>
        <v>7</v>
      </c>
      <c r="V19" s="238" t="str">
        <f t="shared" si="1"/>
        <v>H2O</v>
      </c>
      <c r="W19" s="239">
        <f t="shared" si="2"/>
        <v>0.92</v>
      </c>
      <c r="X19" s="239">
        <f t="shared" si="3"/>
        <v>1.4</v>
      </c>
      <c r="Y19" s="245">
        <f t="shared" si="4"/>
        <v>300</v>
      </c>
      <c r="Z19" s="239">
        <f t="shared" si="5"/>
        <v>300</v>
      </c>
      <c r="AA19" s="239">
        <f t="shared" si="5"/>
        <v>300</v>
      </c>
      <c r="AB19" s="239">
        <f t="shared" si="5"/>
        <v>362.3</v>
      </c>
      <c r="AC19" s="239">
        <f t="shared" si="5"/>
        <v>362.3</v>
      </c>
      <c r="AD19" s="239">
        <f t="shared" si="5"/>
        <v>377.6</v>
      </c>
      <c r="AE19" s="239">
        <f t="shared" si="5"/>
        <v>377.6</v>
      </c>
      <c r="AF19" s="239">
        <f t="shared" si="5"/>
        <v>-229.1</v>
      </c>
      <c r="AG19" s="239">
        <f t="shared" si="5"/>
        <v>289.60000000000002</v>
      </c>
      <c r="AH19" s="239">
        <f t="shared" si="5"/>
        <v>0</v>
      </c>
      <c r="AI19" s="239">
        <f t="shared" si="5"/>
        <v>324.5</v>
      </c>
      <c r="AJ19" s="239">
        <f t="shared" si="5"/>
        <v>-195.4</v>
      </c>
      <c r="AK19" s="239">
        <f t="shared" si="5"/>
        <v>-116</v>
      </c>
      <c r="AL19" s="239">
        <f t="shared" si="5"/>
        <v>72.87</v>
      </c>
      <c r="AM19" s="239">
        <f t="shared" si="5"/>
        <v>48.89</v>
      </c>
      <c r="AN19" s="239">
        <f t="shared" si="5"/>
        <v>243.2</v>
      </c>
      <c r="AO19" s="239">
        <f t="shared" si="5"/>
        <v>-14.09</v>
      </c>
      <c r="AP19" s="239">
        <f t="shared" si="5"/>
        <v>370.4</v>
      </c>
      <c r="AQ19" s="239">
        <f t="shared" si="5"/>
        <v>353.7</v>
      </c>
      <c r="AR19" s="246">
        <f t="shared" si="5"/>
        <v>835.6</v>
      </c>
      <c r="AS19" s="238" t="str">
        <f t="shared" si="6"/>
        <v>H2O</v>
      </c>
    </row>
    <row r="20" spans="1:45">
      <c r="A20" s="234">
        <v>11</v>
      </c>
      <c r="B20" s="242">
        <v>114.8</v>
      </c>
      <c r="C20" s="243">
        <v>132.1</v>
      </c>
      <c r="D20" s="243">
        <v>85.84</v>
      </c>
      <c r="E20" s="243">
        <v>-170</v>
      </c>
      <c r="F20" s="243">
        <v>245.4</v>
      </c>
      <c r="G20" s="243">
        <v>249.6</v>
      </c>
      <c r="H20" s="243">
        <v>200.8</v>
      </c>
      <c r="I20" s="243">
        <v>-36.72</v>
      </c>
      <c r="J20" s="243">
        <v>372.2</v>
      </c>
      <c r="K20" s="243">
        <v>185.1</v>
      </c>
      <c r="L20" s="243">
        <v>0</v>
      </c>
      <c r="M20" s="243"/>
      <c r="N20" s="243">
        <v>475.5</v>
      </c>
      <c r="O20" s="243">
        <v>660.2</v>
      </c>
      <c r="P20" s="243">
        <v>108.9</v>
      </c>
      <c r="Q20" s="243">
        <v>-209.7</v>
      </c>
      <c r="R20" s="244"/>
      <c r="T20" s="221">
        <f>'UNIFAC (VLE)'!A33</f>
        <v>17</v>
      </c>
      <c r="U20" s="225">
        <f t="shared" si="0"/>
        <v>8</v>
      </c>
      <c r="V20" s="238" t="str">
        <f t="shared" si="1"/>
        <v>ACOH</v>
      </c>
      <c r="W20" s="239">
        <f t="shared" si="2"/>
        <v>0.8952</v>
      </c>
      <c r="X20" s="239">
        <f t="shared" si="3"/>
        <v>0.68</v>
      </c>
      <c r="Y20" s="245">
        <f t="shared" si="4"/>
        <v>275.8</v>
      </c>
      <c r="Z20" s="239">
        <f t="shared" si="5"/>
        <v>275.8</v>
      </c>
      <c r="AA20" s="239">
        <f t="shared" si="5"/>
        <v>275.8</v>
      </c>
      <c r="AB20" s="239">
        <f t="shared" si="5"/>
        <v>25.34</v>
      </c>
      <c r="AC20" s="239">
        <f t="shared" si="5"/>
        <v>25.34</v>
      </c>
      <c r="AD20" s="239">
        <f t="shared" si="5"/>
        <v>244.2</v>
      </c>
      <c r="AE20" s="239">
        <f t="shared" si="5"/>
        <v>244.2</v>
      </c>
      <c r="AF20" s="239">
        <f t="shared" si="5"/>
        <v>-451.6</v>
      </c>
      <c r="AG20" s="239">
        <f t="shared" si="5"/>
        <v>-265.2</v>
      </c>
      <c r="AH20" s="239">
        <f t="shared" si="5"/>
        <v>-601.79999999999995</v>
      </c>
      <c r="AI20" s="239">
        <f t="shared" si="5"/>
        <v>0</v>
      </c>
      <c r="AJ20" s="239">
        <f t="shared" si="5"/>
        <v>-356.1</v>
      </c>
      <c r="AK20" s="239">
        <f t="shared" si="5"/>
        <v>-271.10000000000002</v>
      </c>
      <c r="AL20" s="239">
        <f t="shared" si="5"/>
        <v>-449.4</v>
      </c>
      <c r="AM20" s="239">
        <f t="shared" si="5"/>
        <v>0</v>
      </c>
      <c r="AN20" s="239">
        <f t="shared" si="5"/>
        <v>119.9</v>
      </c>
      <c r="AO20" s="239">
        <f t="shared" si="5"/>
        <v>408.9</v>
      </c>
      <c r="AP20" s="239">
        <f t="shared" si="5"/>
        <v>0</v>
      </c>
      <c r="AQ20" s="239">
        <f t="shared" si="5"/>
        <v>0</v>
      </c>
      <c r="AR20" s="246">
        <f t="shared" si="5"/>
        <v>0</v>
      </c>
      <c r="AS20" s="238" t="str">
        <f t="shared" si="6"/>
        <v>ACOH</v>
      </c>
    </row>
    <row r="21" spans="1:45">
      <c r="A21" s="234">
        <v>14</v>
      </c>
      <c r="B21" s="242">
        <v>-30.48</v>
      </c>
      <c r="C21" s="243">
        <v>1.163</v>
      </c>
      <c r="D21" s="243">
        <v>-44.85</v>
      </c>
      <c r="E21" s="243">
        <v>296.39999999999998</v>
      </c>
      <c r="F21" s="243">
        <v>-242.8</v>
      </c>
      <c r="G21" s="243">
        <v>-481.7</v>
      </c>
      <c r="H21" s="243">
        <v>-330.4</v>
      </c>
      <c r="I21" s="243"/>
      <c r="J21" s="243"/>
      <c r="K21" s="243"/>
      <c r="L21" s="243"/>
      <c r="M21" s="243">
        <v>0</v>
      </c>
      <c r="N21" s="243">
        <v>-200.7</v>
      </c>
      <c r="O21" s="243"/>
      <c r="P21" s="243"/>
      <c r="Q21" s="243"/>
      <c r="R21" s="244"/>
      <c r="T21" s="221">
        <f>'UNIFAC (VLE)'!A34</f>
        <v>18</v>
      </c>
      <c r="U21" s="225">
        <f t="shared" si="0"/>
        <v>9</v>
      </c>
      <c r="V21" s="238" t="str">
        <f t="shared" si="1"/>
        <v>CH3CO</v>
      </c>
      <c r="W21" s="239">
        <f t="shared" si="2"/>
        <v>1.6724000000000001</v>
      </c>
      <c r="X21" s="239">
        <f t="shared" si="3"/>
        <v>1.488</v>
      </c>
      <c r="Y21" s="245">
        <f t="shared" si="4"/>
        <v>26.76</v>
      </c>
      <c r="Z21" s="239">
        <f t="shared" si="5"/>
        <v>26.76</v>
      </c>
      <c r="AA21" s="239">
        <f t="shared" si="5"/>
        <v>26.76</v>
      </c>
      <c r="AB21" s="239">
        <f t="shared" si="5"/>
        <v>140.1</v>
      </c>
      <c r="AC21" s="239">
        <f t="shared" si="5"/>
        <v>140.1</v>
      </c>
      <c r="AD21" s="239">
        <f t="shared" si="5"/>
        <v>365.8</v>
      </c>
      <c r="AE21" s="239">
        <f t="shared" si="5"/>
        <v>365.8</v>
      </c>
      <c r="AF21" s="239">
        <f t="shared" si="5"/>
        <v>164.5</v>
      </c>
      <c r="AG21" s="239">
        <f t="shared" si="5"/>
        <v>108.7</v>
      </c>
      <c r="AH21" s="239">
        <f t="shared" si="5"/>
        <v>472.5</v>
      </c>
      <c r="AI21" s="239">
        <f t="shared" si="5"/>
        <v>-133.1</v>
      </c>
      <c r="AJ21" s="239">
        <f t="shared" si="5"/>
        <v>0</v>
      </c>
      <c r="AK21" s="239">
        <f t="shared" si="5"/>
        <v>-37.36</v>
      </c>
      <c r="AL21" s="239">
        <f t="shared" si="5"/>
        <v>-213.7</v>
      </c>
      <c r="AM21" s="239">
        <f t="shared" si="5"/>
        <v>0</v>
      </c>
      <c r="AN21" s="239">
        <f t="shared" si="5"/>
        <v>6201</v>
      </c>
      <c r="AO21" s="239">
        <f t="shared" si="5"/>
        <v>669.4</v>
      </c>
      <c r="AP21" s="239">
        <f t="shared" si="5"/>
        <v>-130.30000000000001</v>
      </c>
      <c r="AQ21" s="239">
        <f t="shared" si="5"/>
        <v>-354.6</v>
      </c>
      <c r="AR21" s="246">
        <f t="shared" si="5"/>
        <v>0</v>
      </c>
      <c r="AS21" s="238" t="str">
        <f t="shared" si="6"/>
        <v>CH3CO</v>
      </c>
    </row>
    <row r="22" spans="1:45">
      <c r="A22" s="234">
        <v>17</v>
      </c>
      <c r="B22" s="242">
        <v>1139</v>
      </c>
      <c r="C22" s="243">
        <v>2000</v>
      </c>
      <c r="D22" s="243">
        <v>247.5</v>
      </c>
      <c r="E22" s="243">
        <v>762.8</v>
      </c>
      <c r="F22" s="243">
        <v>-17.399999999999999</v>
      </c>
      <c r="G22" s="243">
        <v>-118.1</v>
      </c>
      <c r="H22" s="243">
        <v>-341.6</v>
      </c>
      <c r="I22" s="243">
        <v>-253.1</v>
      </c>
      <c r="J22" s="243">
        <v>-450.3</v>
      </c>
      <c r="K22" s="243"/>
      <c r="L22" s="243">
        <v>-294.8</v>
      </c>
      <c r="M22" s="243">
        <v>-15.07</v>
      </c>
      <c r="N22" s="243">
        <v>0</v>
      </c>
      <c r="O22" s="243">
        <v>-396</v>
      </c>
      <c r="P22" s="243">
        <v>-111</v>
      </c>
      <c r="Q22" s="243"/>
      <c r="R22" s="244"/>
      <c r="T22" s="221">
        <f>'UNIFAC (VLE)'!A35</f>
        <v>20</v>
      </c>
      <c r="U22" s="225">
        <f t="shared" si="0"/>
        <v>10</v>
      </c>
      <c r="V22" s="238" t="str">
        <f t="shared" si="1"/>
        <v>CHO</v>
      </c>
      <c r="W22" s="239">
        <f t="shared" si="2"/>
        <v>0.998</v>
      </c>
      <c r="X22" s="239">
        <f t="shared" si="3"/>
        <v>0.94799999999999995</v>
      </c>
      <c r="Y22" s="245">
        <f t="shared" si="4"/>
        <v>505.7</v>
      </c>
      <c r="Z22" s="239">
        <f t="shared" si="5"/>
        <v>505.7</v>
      </c>
      <c r="AA22" s="239">
        <f t="shared" si="5"/>
        <v>505.7</v>
      </c>
      <c r="AB22" s="239">
        <f t="shared" si="5"/>
        <v>23.39</v>
      </c>
      <c r="AC22" s="239">
        <f t="shared" si="5"/>
        <v>23.39</v>
      </c>
      <c r="AD22" s="239">
        <f t="shared" si="5"/>
        <v>106</v>
      </c>
      <c r="AE22" s="239">
        <f t="shared" si="5"/>
        <v>106</v>
      </c>
      <c r="AF22" s="239">
        <f t="shared" si="5"/>
        <v>529</v>
      </c>
      <c r="AG22" s="239">
        <f t="shared" si="5"/>
        <v>-340.2</v>
      </c>
      <c r="AH22" s="239">
        <f t="shared" si="5"/>
        <v>480.8</v>
      </c>
      <c r="AI22" s="239">
        <f t="shared" si="5"/>
        <v>-155.6</v>
      </c>
      <c r="AJ22" s="239">
        <f t="shared" si="5"/>
        <v>128</v>
      </c>
      <c r="AK22" s="239">
        <f t="shared" si="5"/>
        <v>0</v>
      </c>
      <c r="AL22" s="239">
        <f t="shared" si="5"/>
        <v>-110.3</v>
      </c>
      <c r="AM22" s="239">
        <f t="shared" si="5"/>
        <v>0</v>
      </c>
      <c r="AN22" s="239">
        <f t="shared" si="5"/>
        <v>0</v>
      </c>
      <c r="AO22" s="239">
        <f t="shared" si="5"/>
        <v>497.5</v>
      </c>
      <c r="AP22" s="239">
        <f t="shared" si="5"/>
        <v>67.52</v>
      </c>
      <c r="AQ22" s="239">
        <f t="shared" si="5"/>
        <v>-483.7</v>
      </c>
      <c r="AR22" s="246">
        <f t="shared" si="5"/>
        <v>0</v>
      </c>
      <c r="AS22" s="238" t="str">
        <f t="shared" si="6"/>
        <v>CHO</v>
      </c>
    </row>
    <row r="23" spans="1:45">
      <c r="A23" s="234">
        <v>20</v>
      </c>
      <c r="B23" s="242">
        <v>315.3</v>
      </c>
      <c r="C23" s="243">
        <v>1264</v>
      </c>
      <c r="D23" s="243">
        <v>62.32</v>
      </c>
      <c r="E23" s="243">
        <v>89.96</v>
      </c>
      <c r="F23" s="243">
        <v>-151</v>
      </c>
      <c r="G23" s="243">
        <v>339.8</v>
      </c>
      <c r="H23" s="243">
        <v>-66.17</v>
      </c>
      <c r="I23" s="243">
        <v>-11</v>
      </c>
      <c r="J23" s="243">
        <v>-297.8</v>
      </c>
      <c r="K23" s="243">
        <v>-165.5</v>
      </c>
      <c r="L23" s="243">
        <v>-256.3</v>
      </c>
      <c r="M23" s="243"/>
      <c r="N23" s="243">
        <v>493.8</v>
      </c>
      <c r="O23" s="243">
        <v>0</v>
      </c>
      <c r="P23" s="243">
        <v>-44.7</v>
      </c>
      <c r="Q23" s="243">
        <v>39.630000000000003</v>
      </c>
      <c r="R23" s="244">
        <v>-322.3</v>
      </c>
      <c r="T23" s="221">
        <f>'UNIFAC (VLE)'!A36</f>
        <v>21</v>
      </c>
      <c r="U23" s="225">
        <f t="shared" si="0"/>
        <v>11</v>
      </c>
      <c r="V23" s="238" t="str">
        <f t="shared" si="1"/>
        <v>CH3COO</v>
      </c>
      <c r="W23" s="239">
        <f t="shared" si="2"/>
        <v>1.9031</v>
      </c>
      <c r="X23" s="239">
        <f t="shared" si="3"/>
        <v>1.728</v>
      </c>
      <c r="Y23" s="245">
        <f t="shared" si="4"/>
        <v>114.8</v>
      </c>
      <c r="Z23" s="239">
        <f t="shared" si="5"/>
        <v>114.8</v>
      </c>
      <c r="AA23" s="239">
        <f t="shared" si="5"/>
        <v>114.8</v>
      </c>
      <c r="AB23" s="239">
        <f t="shared" si="5"/>
        <v>85.84</v>
      </c>
      <c r="AC23" s="239">
        <f t="shared" si="5"/>
        <v>85.84</v>
      </c>
      <c r="AD23" s="239">
        <f t="shared" si="5"/>
        <v>-170</v>
      </c>
      <c r="AE23" s="239">
        <f t="shared" si="5"/>
        <v>-170</v>
      </c>
      <c r="AF23" s="239">
        <f t="shared" si="5"/>
        <v>245.4</v>
      </c>
      <c r="AG23" s="239">
        <f t="shared" si="5"/>
        <v>249.6</v>
      </c>
      <c r="AH23" s="239">
        <f t="shared" ref="AH23:AR29" si="7">INDEX(MGaij,MATCH($U23,row,0),MATCH(AH$8,column,0))</f>
        <v>200.8</v>
      </c>
      <c r="AI23" s="239">
        <f t="shared" si="7"/>
        <v>-36.72</v>
      </c>
      <c r="AJ23" s="239">
        <f t="shared" si="7"/>
        <v>372.2</v>
      </c>
      <c r="AK23" s="239">
        <f t="shared" si="7"/>
        <v>185.1</v>
      </c>
      <c r="AL23" s="239">
        <f t="shared" si="7"/>
        <v>0</v>
      </c>
      <c r="AM23" s="239">
        <f t="shared" si="7"/>
        <v>0</v>
      </c>
      <c r="AN23" s="239">
        <f t="shared" si="7"/>
        <v>475.5</v>
      </c>
      <c r="AO23" s="239">
        <f t="shared" si="7"/>
        <v>660.2</v>
      </c>
      <c r="AP23" s="239">
        <f t="shared" si="7"/>
        <v>108.9</v>
      </c>
      <c r="AQ23" s="239">
        <f t="shared" si="7"/>
        <v>-209.7</v>
      </c>
      <c r="AR23" s="246">
        <f t="shared" si="7"/>
        <v>0</v>
      </c>
      <c r="AS23" s="238" t="str">
        <f t="shared" si="6"/>
        <v>CH3COO</v>
      </c>
    </row>
    <row r="24" spans="1:45">
      <c r="A24" s="234">
        <v>22</v>
      </c>
      <c r="B24" s="242">
        <v>34.1</v>
      </c>
      <c r="C24" s="243">
        <v>-23.5</v>
      </c>
      <c r="D24" s="243">
        <v>121.3</v>
      </c>
      <c r="E24" s="243">
        <v>140.80000000000001</v>
      </c>
      <c r="F24" s="243">
        <v>527.6</v>
      </c>
      <c r="G24" s="243">
        <v>669.9</v>
      </c>
      <c r="H24" s="243">
        <v>708.7</v>
      </c>
      <c r="I24" s="243"/>
      <c r="J24" s="243">
        <v>82.86</v>
      </c>
      <c r="K24" s="243">
        <v>190.6</v>
      </c>
      <c r="L24" s="243">
        <v>-133</v>
      </c>
      <c r="M24" s="243"/>
      <c r="N24" s="243">
        <v>140.80000000000001</v>
      </c>
      <c r="O24" s="243">
        <v>543.29999999999995</v>
      </c>
      <c r="P24" s="243">
        <v>0</v>
      </c>
      <c r="Q24" s="243">
        <v>0</v>
      </c>
      <c r="R24" s="244"/>
      <c r="T24" s="221">
        <f>'UNIFAC (VLE)'!A37</f>
        <v>29</v>
      </c>
      <c r="U24" s="225">
        <f t="shared" si="0"/>
        <v>14</v>
      </c>
      <c r="V24" s="238" t="str">
        <f t="shared" si="1"/>
        <v>CH2NH2</v>
      </c>
      <c r="W24" s="239">
        <f t="shared" si="2"/>
        <v>1.3692</v>
      </c>
      <c r="X24" s="239">
        <f t="shared" si="3"/>
        <v>1.236</v>
      </c>
      <c r="Y24" s="245">
        <f t="shared" si="4"/>
        <v>-30.48</v>
      </c>
      <c r="Z24" s="239">
        <f t="shared" ref="Z24:AG29" si="8">INDEX(MGaij,MATCH($U24,row,0),MATCH(Z$8,column,0))</f>
        <v>-30.48</v>
      </c>
      <c r="AA24" s="239">
        <f t="shared" si="8"/>
        <v>-30.48</v>
      </c>
      <c r="AB24" s="239">
        <f t="shared" si="8"/>
        <v>-44.85</v>
      </c>
      <c r="AC24" s="239">
        <f t="shared" si="8"/>
        <v>-44.85</v>
      </c>
      <c r="AD24" s="239">
        <f t="shared" si="8"/>
        <v>296.39999999999998</v>
      </c>
      <c r="AE24" s="239">
        <f t="shared" si="8"/>
        <v>296.39999999999998</v>
      </c>
      <c r="AF24" s="239">
        <f t="shared" si="8"/>
        <v>-242.8</v>
      </c>
      <c r="AG24" s="239">
        <f t="shared" si="8"/>
        <v>-481.7</v>
      </c>
      <c r="AH24" s="239">
        <f t="shared" si="7"/>
        <v>-330.4</v>
      </c>
      <c r="AI24" s="239">
        <f t="shared" si="7"/>
        <v>0</v>
      </c>
      <c r="AJ24" s="239">
        <f t="shared" si="7"/>
        <v>0</v>
      </c>
      <c r="AK24" s="239">
        <f t="shared" si="7"/>
        <v>0</v>
      </c>
      <c r="AL24" s="239">
        <f t="shared" si="7"/>
        <v>0</v>
      </c>
      <c r="AM24" s="239">
        <f t="shared" si="7"/>
        <v>0</v>
      </c>
      <c r="AN24" s="239">
        <f t="shared" si="7"/>
        <v>-200.7</v>
      </c>
      <c r="AO24" s="239">
        <f t="shared" si="7"/>
        <v>0</v>
      </c>
      <c r="AP24" s="239">
        <f t="shared" si="7"/>
        <v>0</v>
      </c>
      <c r="AQ24" s="239">
        <f t="shared" si="7"/>
        <v>0</v>
      </c>
      <c r="AR24" s="246">
        <f t="shared" si="7"/>
        <v>0</v>
      </c>
      <c r="AS24" s="238" t="str">
        <f t="shared" si="6"/>
        <v>CH2NH2</v>
      </c>
    </row>
    <row r="25" spans="1:45">
      <c r="A25" s="234">
        <v>23</v>
      </c>
      <c r="B25" s="242">
        <v>36.700000000000003</v>
      </c>
      <c r="C25" s="243">
        <v>51.06</v>
      </c>
      <c r="D25" s="243">
        <v>228.5</v>
      </c>
      <c r="E25" s="243">
        <v>69.900000000000006</v>
      </c>
      <c r="F25" s="243">
        <v>742.1</v>
      </c>
      <c r="G25" s="243">
        <v>649.1</v>
      </c>
      <c r="H25" s="243">
        <v>826.8</v>
      </c>
      <c r="I25" s="243"/>
      <c r="J25" s="243">
        <v>552.1</v>
      </c>
      <c r="K25" s="243">
        <v>242.8</v>
      </c>
      <c r="L25" s="243">
        <v>176.5</v>
      </c>
      <c r="M25" s="243"/>
      <c r="N25" s="243"/>
      <c r="O25" s="243">
        <v>504.2</v>
      </c>
      <c r="P25" s="243">
        <v>-84.53</v>
      </c>
      <c r="Q25" s="243">
        <v>0</v>
      </c>
      <c r="R25" s="244"/>
      <c r="T25" s="221">
        <f>'UNIFAC (VLE)'!A38</f>
        <v>36</v>
      </c>
      <c r="U25" s="225">
        <f t="shared" si="0"/>
        <v>17</v>
      </c>
      <c r="V25" s="238" t="str">
        <f t="shared" si="1"/>
        <v>ACNH2</v>
      </c>
      <c r="W25" s="239">
        <f t="shared" si="2"/>
        <v>1.06</v>
      </c>
      <c r="X25" s="239">
        <f t="shared" si="3"/>
        <v>0.81599999999999995</v>
      </c>
      <c r="Y25" s="245">
        <f t="shared" si="4"/>
        <v>1139</v>
      </c>
      <c r="Z25" s="239">
        <f t="shared" si="8"/>
        <v>1139</v>
      </c>
      <c r="AA25" s="239">
        <f t="shared" si="8"/>
        <v>1139</v>
      </c>
      <c r="AB25" s="239">
        <f t="shared" si="8"/>
        <v>247.5</v>
      </c>
      <c r="AC25" s="239">
        <f t="shared" si="8"/>
        <v>247.5</v>
      </c>
      <c r="AD25" s="239">
        <f t="shared" si="8"/>
        <v>762.8</v>
      </c>
      <c r="AE25" s="239">
        <f t="shared" si="8"/>
        <v>762.8</v>
      </c>
      <c r="AF25" s="239">
        <f t="shared" si="8"/>
        <v>-17.399999999999999</v>
      </c>
      <c r="AG25" s="239">
        <f t="shared" si="8"/>
        <v>-118.1</v>
      </c>
      <c r="AH25" s="239">
        <f t="shared" si="7"/>
        <v>-341.6</v>
      </c>
      <c r="AI25" s="239">
        <f t="shared" si="7"/>
        <v>-253.1</v>
      </c>
      <c r="AJ25" s="239">
        <f t="shared" si="7"/>
        <v>-450.3</v>
      </c>
      <c r="AK25" s="239">
        <f t="shared" si="7"/>
        <v>0</v>
      </c>
      <c r="AL25" s="239">
        <f t="shared" si="7"/>
        <v>-294.8</v>
      </c>
      <c r="AM25" s="239">
        <f t="shared" si="7"/>
        <v>-15.07</v>
      </c>
      <c r="AN25" s="239">
        <f t="shared" si="7"/>
        <v>0</v>
      </c>
      <c r="AO25" s="239">
        <f t="shared" si="7"/>
        <v>-396</v>
      </c>
      <c r="AP25" s="239">
        <f t="shared" si="7"/>
        <v>-111</v>
      </c>
      <c r="AQ25" s="239">
        <f t="shared" si="7"/>
        <v>0</v>
      </c>
      <c r="AR25" s="246">
        <f t="shared" si="7"/>
        <v>0</v>
      </c>
      <c r="AS25" s="238" t="str">
        <f t="shared" si="6"/>
        <v>ACNH2</v>
      </c>
    </row>
    <row r="26" spans="1:45">
      <c r="A26" s="234">
        <v>46</v>
      </c>
      <c r="B26" s="247">
        <v>27.97</v>
      </c>
      <c r="C26" s="248">
        <v>9.7550000000000008</v>
      </c>
      <c r="D26" s="248"/>
      <c r="E26" s="248"/>
      <c r="F26" s="248">
        <v>394.8</v>
      </c>
      <c r="G26" s="248"/>
      <c r="H26" s="248">
        <v>-509.3</v>
      </c>
      <c r="I26" s="248"/>
      <c r="J26" s="248"/>
      <c r="K26" s="248"/>
      <c r="L26" s="248"/>
      <c r="M26" s="248"/>
      <c r="N26" s="248"/>
      <c r="O26" s="248">
        <v>-70.25</v>
      </c>
      <c r="P26" s="248"/>
      <c r="Q26" s="248"/>
      <c r="R26" s="249">
        <v>0</v>
      </c>
      <c r="T26" s="221">
        <f>'UNIFAC (VLE)'!A39</f>
        <v>42</v>
      </c>
      <c r="U26" s="225">
        <f t="shared" si="0"/>
        <v>20</v>
      </c>
      <c r="V26" s="238" t="str">
        <f t="shared" si="1"/>
        <v>COOH</v>
      </c>
      <c r="W26" s="239">
        <f t="shared" si="2"/>
        <v>1.3012999999999999</v>
      </c>
      <c r="X26" s="239">
        <f t="shared" si="3"/>
        <v>1.224</v>
      </c>
      <c r="Y26" s="245">
        <f t="shared" si="4"/>
        <v>315.3</v>
      </c>
      <c r="Z26" s="239">
        <f t="shared" si="8"/>
        <v>315.3</v>
      </c>
      <c r="AA26" s="239">
        <f t="shared" si="8"/>
        <v>315.3</v>
      </c>
      <c r="AB26" s="239">
        <f t="shared" si="8"/>
        <v>62.32</v>
      </c>
      <c r="AC26" s="239">
        <f t="shared" si="8"/>
        <v>62.32</v>
      </c>
      <c r="AD26" s="239">
        <f t="shared" si="8"/>
        <v>89.96</v>
      </c>
      <c r="AE26" s="239">
        <f t="shared" si="8"/>
        <v>89.96</v>
      </c>
      <c r="AF26" s="239">
        <f t="shared" si="8"/>
        <v>-151</v>
      </c>
      <c r="AG26" s="239">
        <f t="shared" si="8"/>
        <v>339.8</v>
      </c>
      <c r="AH26" s="239">
        <f t="shared" si="7"/>
        <v>-66.17</v>
      </c>
      <c r="AI26" s="239">
        <f t="shared" si="7"/>
        <v>-11</v>
      </c>
      <c r="AJ26" s="239">
        <f t="shared" si="7"/>
        <v>-297.8</v>
      </c>
      <c r="AK26" s="239">
        <f t="shared" si="7"/>
        <v>-165.5</v>
      </c>
      <c r="AL26" s="239">
        <f t="shared" si="7"/>
        <v>-256.3</v>
      </c>
      <c r="AM26" s="239">
        <f t="shared" si="7"/>
        <v>0</v>
      </c>
      <c r="AN26" s="239">
        <f t="shared" si="7"/>
        <v>493.8</v>
      </c>
      <c r="AO26" s="239">
        <f t="shared" si="7"/>
        <v>0</v>
      </c>
      <c r="AP26" s="239">
        <f t="shared" si="7"/>
        <v>-44.7</v>
      </c>
      <c r="AQ26" s="239">
        <f t="shared" si="7"/>
        <v>39.630000000000003</v>
      </c>
      <c r="AR26" s="246">
        <f t="shared" si="7"/>
        <v>-322.3</v>
      </c>
      <c r="AS26" s="238" t="str">
        <f t="shared" si="6"/>
        <v>COOH</v>
      </c>
    </row>
    <row r="27" spans="1:45">
      <c r="T27" s="221">
        <f>'UNIFAC (VLE)'!A40</f>
        <v>49</v>
      </c>
      <c r="U27" s="225">
        <f t="shared" si="0"/>
        <v>22</v>
      </c>
      <c r="V27" s="238" t="str">
        <f t="shared" si="1"/>
        <v>CCL2</v>
      </c>
      <c r="W27" s="239">
        <f t="shared" si="2"/>
        <v>1.8016000000000001</v>
      </c>
      <c r="X27" s="239">
        <f t="shared" si="3"/>
        <v>1.448</v>
      </c>
      <c r="Y27" s="245">
        <f t="shared" si="4"/>
        <v>34.1</v>
      </c>
      <c r="Z27" s="239">
        <f t="shared" si="8"/>
        <v>34.1</v>
      </c>
      <c r="AA27" s="239">
        <f t="shared" si="8"/>
        <v>34.1</v>
      </c>
      <c r="AB27" s="239">
        <f t="shared" si="8"/>
        <v>121.3</v>
      </c>
      <c r="AC27" s="239">
        <f t="shared" si="8"/>
        <v>121.3</v>
      </c>
      <c r="AD27" s="239">
        <f t="shared" si="8"/>
        <v>140.80000000000001</v>
      </c>
      <c r="AE27" s="239">
        <f t="shared" si="8"/>
        <v>140.80000000000001</v>
      </c>
      <c r="AF27" s="239">
        <f t="shared" si="8"/>
        <v>527.6</v>
      </c>
      <c r="AG27" s="239">
        <f t="shared" si="8"/>
        <v>669.9</v>
      </c>
      <c r="AH27" s="239">
        <f t="shared" si="7"/>
        <v>708.7</v>
      </c>
      <c r="AI27" s="239">
        <f t="shared" si="7"/>
        <v>0</v>
      </c>
      <c r="AJ27" s="239">
        <f t="shared" si="7"/>
        <v>82.86</v>
      </c>
      <c r="AK27" s="239">
        <f t="shared" si="7"/>
        <v>190.6</v>
      </c>
      <c r="AL27" s="239">
        <f t="shared" si="7"/>
        <v>-133</v>
      </c>
      <c r="AM27" s="239">
        <f t="shared" si="7"/>
        <v>0</v>
      </c>
      <c r="AN27" s="239">
        <f t="shared" si="7"/>
        <v>140.80000000000001</v>
      </c>
      <c r="AO27" s="239">
        <f t="shared" si="7"/>
        <v>543.29999999999995</v>
      </c>
      <c r="AP27" s="239">
        <f t="shared" si="7"/>
        <v>0</v>
      </c>
      <c r="AQ27" s="239">
        <f t="shared" si="7"/>
        <v>0</v>
      </c>
      <c r="AR27" s="246">
        <f t="shared" si="7"/>
        <v>0</v>
      </c>
      <c r="AS27" s="238" t="str">
        <f t="shared" si="6"/>
        <v>CCL2</v>
      </c>
    </row>
    <row r="28" spans="1:45">
      <c r="T28" s="221">
        <f>'UNIFAC (VLE)'!A41</f>
        <v>51</v>
      </c>
      <c r="U28" s="225">
        <f t="shared" si="0"/>
        <v>23</v>
      </c>
      <c r="V28" s="238" t="str">
        <f t="shared" si="1"/>
        <v>CCL3</v>
      </c>
      <c r="W28" s="239">
        <f t="shared" si="2"/>
        <v>2.6400999999999999</v>
      </c>
      <c r="X28" s="239">
        <f t="shared" si="3"/>
        <v>2.1840000000000002</v>
      </c>
      <c r="Y28" s="245">
        <f t="shared" si="4"/>
        <v>36.700000000000003</v>
      </c>
      <c r="Z28" s="239">
        <f t="shared" si="8"/>
        <v>36.700000000000003</v>
      </c>
      <c r="AA28" s="239">
        <f t="shared" si="8"/>
        <v>36.700000000000003</v>
      </c>
      <c r="AB28" s="239">
        <f t="shared" si="8"/>
        <v>228.5</v>
      </c>
      <c r="AC28" s="239">
        <f t="shared" si="8"/>
        <v>228.5</v>
      </c>
      <c r="AD28" s="239">
        <f t="shared" si="8"/>
        <v>69.900000000000006</v>
      </c>
      <c r="AE28" s="239">
        <f t="shared" si="8"/>
        <v>69.900000000000006</v>
      </c>
      <c r="AF28" s="239">
        <f t="shared" si="8"/>
        <v>742.1</v>
      </c>
      <c r="AG28" s="239">
        <f t="shared" si="8"/>
        <v>649.1</v>
      </c>
      <c r="AH28" s="239">
        <f t="shared" si="7"/>
        <v>826.8</v>
      </c>
      <c r="AI28" s="239">
        <f t="shared" si="7"/>
        <v>0</v>
      </c>
      <c r="AJ28" s="239">
        <f t="shared" si="7"/>
        <v>552.1</v>
      </c>
      <c r="AK28" s="239">
        <f t="shared" si="7"/>
        <v>242.8</v>
      </c>
      <c r="AL28" s="239">
        <f t="shared" si="7"/>
        <v>176.5</v>
      </c>
      <c r="AM28" s="239">
        <f t="shared" si="7"/>
        <v>0</v>
      </c>
      <c r="AN28" s="239">
        <f t="shared" si="7"/>
        <v>0</v>
      </c>
      <c r="AO28" s="239">
        <f t="shared" si="7"/>
        <v>504.2</v>
      </c>
      <c r="AP28" s="239">
        <f t="shared" si="7"/>
        <v>-84.53</v>
      </c>
      <c r="AQ28" s="239">
        <f t="shared" si="7"/>
        <v>0</v>
      </c>
      <c r="AR28" s="246">
        <f t="shared" si="7"/>
        <v>0</v>
      </c>
      <c r="AS28" s="238" t="str">
        <f t="shared" si="6"/>
        <v>CCL3</v>
      </c>
    </row>
    <row r="29" spans="1:45">
      <c r="A29" s="223" t="s">
        <v>274</v>
      </c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T29" s="221">
        <f>'UNIFAC (VLE)'!A42</f>
        <v>99</v>
      </c>
      <c r="U29" s="225">
        <f t="shared" si="0"/>
        <v>46</v>
      </c>
      <c r="V29" s="238" t="str">
        <f t="shared" si="1"/>
        <v>CON(CH2)2</v>
      </c>
      <c r="W29" s="251">
        <f t="shared" si="2"/>
        <v>2.4054000000000002</v>
      </c>
      <c r="X29" s="252">
        <f t="shared" si="3"/>
        <v>1.8120000000000001</v>
      </c>
      <c r="Y29" s="251">
        <f t="shared" si="4"/>
        <v>27.97</v>
      </c>
      <c r="Z29" s="253">
        <f t="shared" si="8"/>
        <v>27.97</v>
      </c>
      <c r="AA29" s="253">
        <f t="shared" si="8"/>
        <v>27.97</v>
      </c>
      <c r="AB29" s="253">
        <f t="shared" si="8"/>
        <v>0</v>
      </c>
      <c r="AC29" s="253">
        <f t="shared" si="8"/>
        <v>0</v>
      </c>
      <c r="AD29" s="253">
        <f t="shared" si="8"/>
        <v>0</v>
      </c>
      <c r="AE29" s="253">
        <f t="shared" si="8"/>
        <v>0</v>
      </c>
      <c r="AF29" s="253">
        <f t="shared" si="8"/>
        <v>394.8</v>
      </c>
      <c r="AG29" s="253">
        <f t="shared" si="8"/>
        <v>0</v>
      </c>
      <c r="AH29" s="253">
        <f t="shared" si="7"/>
        <v>-509.3</v>
      </c>
      <c r="AI29" s="253">
        <f t="shared" si="7"/>
        <v>0</v>
      </c>
      <c r="AJ29" s="253">
        <f t="shared" si="7"/>
        <v>0</v>
      </c>
      <c r="AK29" s="253">
        <f t="shared" si="7"/>
        <v>0</v>
      </c>
      <c r="AL29" s="253">
        <f t="shared" si="7"/>
        <v>0</v>
      </c>
      <c r="AM29" s="253">
        <f t="shared" si="7"/>
        <v>0</v>
      </c>
      <c r="AN29" s="253">
        <f t="shared" si="7"/>
        <v>0</v>
      </c>
      <c r="AO29" s="253">
        <f t="shared" si="7"/>
        <v>-70.25</v>
      </c>
      <c r="AP29" s="253">
        <f t="shared" si="7"/>
        <v>0</v>
      </c>
      <c r="AQ29" s="253">
        <f t="shared" si="7"/>
        <v>0</v>
      </c>
      <c r="AR29" s="252">
        <f t="shared" si="7"/>
        <v>0</v>
      </c>
      <c r="AS29" s="238" t="str">
        <f t="shared" si="6"/>
        <v>CON(CH2)2</v>
      </c>
    </row>
    <row r="30" spans="1:45">
      <c r="A30" s="222" t="s">
        <v>275</v>
      </c>
    </row>
    <row r="31" spans="1:45">
      <c r="A31" s="222" t="s">
        <v>276</v>
      </c>
    </row>
    <row r="32" spans="1:45">
      <c r="A32" s="222" t="s">
        <v>277</v>
      </c>
      <c r="T32" s="222"/>
      <c r="V32" s="221" t="s">
        <v>297</v>
      </c>
    </row>
    <row r="33" spans="1:64">
      <c r="A33" s="254"/>
      <c r="C33" s="250"/>
      <c r="D33" s="250"/>
      <c r="E33" s="250"/>
      <c r="T33" s="222"/>
      <c r="V33" s="221" t="s">
        <v>269</v>
      </c>
    </row>
    <row r="34" spans="1:64">
      <c r="A34" s="222" t="s">
        <v>264</v>
      </c>
      <c r="B34" s="222" t="s">
        <v>278</v>
      </c>
      <c r="D34" s="222" t="s">
        <v>158</v>
      </c>
      <c r="E34" s="222" t="s">
        <v>133</v>
      </c>
      <c r="U34" s="225"/>
      <c r="V34" s="256" t="s">
        <v>279</v>
      </c>
      <c r="AQ34" s="222"/>
      <c r="AR34" s="222"/>
      <c r="AS34" s="255"/>
      <c r="AT34" s="255"/>
      <c r="BK34" s="222"/>
      <c r="BL34" s="222"/>
    </row>
    <row r="35" spans="1:64" s="250" customFormat="1">
      <c r="A35" s="257">
        <v>1</v>
      </c>
      <c r="B35" s="257">
        <v>1</v>
      </c>
      <c r="C35" s="257" t="s">
        <v>159</v>
      </c>
      <c r="D35" s="257">
        <v>0.90110000000000001</v>
      </c>
      <c r="E35" s="257">
        <v>0.84799999999999998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T35" s="233"/>
      <c r="U35" s="225"/>
      <c r="V35" s="221"/>
      <c r="W35" s="221" t="str">
        <f t="shared" ref="W35:AP35" si="9">Y9</f>
        <v>CH3</v>
      </c>
      <c r="X35" s="221" t="str">
        <f t="shared" si="9"/>
        <v>CH2</v>
      </c>
      <c r="Y35" s="221" t="str">
        <f t="shared" si="9"/>
        <v>CH</v>
      </c>
      <c r="Z35" s="221" t="str">
        <f t="shared" si="9"/>
        <v>ACH</v>
      </c>
      <c r="AA35" s="221" t="str">
        <f t="shared" si="9"/>
        <v>AC</v>
      </c>
      <c r="AB35" s="221" t="str">
        <f t="shared" si="9"/>
        <v>ACCH3</v>
      </c>
      <c r="AC35" s="221" t="str">
        <f t="shared" si="9"/>
        <v>ACCH2</v>
      </c>
      <c r="AD35" s="221" t="str">
        <f t="shared" si="9"/>
        <v>OH</v>
      </c>
      <c r="AE35" s="221" t="str">
        <f t="shared" si="9"/>
        <v>CH3OH</v>
      </c>
      <c r="AF35" s="221" t="str">
        <f t="shared" si="9"/>
        <v>H2O</v>
      </c>
      <c r="AG35" s="221" t="str">
        <f t="shared" si="9"/>
        <v>ACOH</v>
      </c>
      <c r="AH35" s="221" t="str">
        <f t="shared" si="9"/>
        <v>CH3CO</v>
      </c>
      <c r="AI35" s="221" t="str">
        <f t="shared" si="9"/>
        <v>CHO</v>
      </c>
      <c r="AJ35" s="221" t="str">
        <f t="shared" si="9"/>
        <v>CH3COO</v>
      </c>
      <c r="AK35" s="221" t="str">
        <f t="shared" si="9"/>
        <v>CH2NH2</v>
      </c>
      <c r="AL35" s="221" t="str">
        <f t="shared" si="9"/>
        <v>ACNH2</v>
      </c>
      <c r="AM35" s="221" t="str">
        <f t="shared" si="9"/>
        <v>COOH</v>
      </c>
      <c r="AN35" s="221" t="str">
        <f t="shared" si="9"/>
        <v>CCL2</v>
      </c>
      <c r="AO35" s="221" t="str">
        <f t="shared" si="9"/>
        <v>CCL3</v>
      </c>
      <c r="AP35" s="221" t="str">
        <f t="shared" si="9"/>
        <v>CON(CH2)2</v>
      </c>
    </row>
    <row r="36" spans="1:64">
      <c r="A36" s="258">
        <v>2</v>
      </c>
      <c r="B36" s="258">
        <v>1</v>
      </c>
      <c r="C36" s="257" t="s">
        <v>160</v>
      </c>
      <c r="D36" s="257">
        <v>0.6744</v>
      </c>
      <c r="E36" s="257">
        <v>0.54</v>
      </c>
      <c r="U36" s="225"/>
      <c r="V36" s="221" t="str">
        <f t="shared" ref="V36:V55" si="10">V10</f>
        <v>CH3</v>
      </c>
      <c r="W36" s="259">
        <f t="shared" ref="W36:W55" si="11">EXP(-Y10/($U$6+273.15))</f>
        <v>1</v>
      </c>
      <c r="X36" s="259">
        <f t="shared" ref="X36:X55" si="12">EXP(-Z10/($U$6+273.15))</f>
        <v>1</v>
      </c>
      <c r="Y36" s="259">
        <f t="shared" ref="Y36:Y55" si="13">EXP(-AA10/($U$6+273.15))</f>
        <v>1</v>
      </c>
      <c r="Z36" s="259">
        <f t="shared" ref="Z36:Z55" si="14">EXP(-AB10/($U$6+273.15))</f>
        <v>0.81462204265395999</v>
      </c>
      <c r="AA36" s="259">
        <f t="shared" ref="AA36:AA55" si="15">EXP(-AC10/($U$6+273.15))</f>
        <v>0.81462204265395999</v>
      </c>
      <c r="AB36" s="259">
        <f t="shared" ref="AB36:AB55" si="16">EXP(-AD10/($U$6+273.15))</f>
        <v>0.77369135021671831</v>
      </c>
      <c r="AC36" s="259">
        <f t="shared" ref="AC36:AC55" si="17">EXP(-AE10/($U$6+273.15))</f>
        <v>0.77369135021671831</v>
      </c>
      <c r="AD36" s="259">
        <f t="shared" ref="AD36:AD55" si="18">EXP(-AF10/($U$6+273.15))</f>
        <v>3.6562315037278185E-2</v>
      </c>
      <c r="AE36" s="259">
        <f t="shared" ref="AE36:AE55" si="19">EXP(-AG10/($U$6+273.15))</f>
        <v>9.6479931281565207E-2</v>
      </c>
      <c r="AF36" s="259">
        <f t="shared" ref="AF36:AF55" si="20">EXP(-AH10/($U$6+273.15))</f>
        <v>1.2027090151659613E-2</v>
      </c>
      <c r="AG36" s="259">
        <f t="shared" ref="AG36:AG55" si="21">EXP(-AI10/($U$6+273.15))</f>
        <v>1.1436973211762848E-2</v>
      </c>
      <c r="AH36" s="259">
        <f t="shared" ref="AH36:AH55" si="22">EXP(-AJ10/($U$6+273.15))</f>
        <v>0.20233036858676409</v>
      </c>
      <c r="AI36" s="259">
        <f t="shared" ref="AI36:AI55" si="23">EXP(-AK10/($U$6+273.15))</f>
        <v>0.10324307431131721</v>
      </c>
      <c r="AJ36" s="259">
        <f t="shared" ref="AJ36:AJ55" si="24">EXP(-AL10/($U$6+273.15))</f>
        <v>0.45910918816932877</v>
      </c>
      <c r="AK36" s="259">
        <f t="shared" ref="AK36:AK55" si="25">EXP(-AM10/($U$6+273.15))</f>
        <v>0.26898559952503881</v>
      </c>
      <c r="AL36" s="259">
        <f t="shared" ref="AL36:AL55" si="26">EXP(-AN10/($U$6+273.15))</f>
        <v>4.5591092046142444E-2</v>
      </c>
      <c r="AM36" s="259">
        <f t="shared" ref="AM36:AM55" si="27">EXP(-AO10/($U$6+273.15))</f>
        <v>0.1080252908851002</v>
      </c>
      <c r="AN36" s="259">
        <f t="shared" ref="AN36:AN55" si="28">EXP(-AP10/($U$6+273.15))</f>
        <v>0.83500971160986082</v>
      </c>
      <c r="AO36" s="259">
        <f t="shared" ref="AO36:AO55" si="29">EXP(-AQ10/($U$6+273.15))</f>
        <v>0.9198772799238939</v>
      </c>
      <c r="AP36" s="259">
        <f t="shared" ref="AP36:AP55" si="30">EXP(-AR10/($U$6+273.15))</f>
        <v>0.2787207596100813</v>
      </c>
      <c r="AQ36" s="222"/>
      <c r="AR36" s="222"/>
      <c r="AS36" s="255"/>
      <c r="AT36" s="255"/>
      <c r="BK36" s="222"/>
      <c r="BL36" s="222"/>
    </row>
    <row r="37" spans="1:64">
      <c r="A37" s="257">
        <v>3</v>
      </c>
      <c r="B37" s="257">
        <v>1</v>
      </c>
      <c r="C37" s="257" t="s">
        <v>161</v>
      </c>
      <c r="D37" s="257">
        <v>0.44690000000000002</v>
      </c>
      <c r="E37" s="257">
        <v>0.22800000000000001</v>
      </c>
      <c r="U37" s="225"/>
      <c r="V37" s="221" t="str">
        <f t="shared" si="10"/>
        <v>CH2</v>
      </c>
      <c r="W37" s="259">
        <f t="shared" si="11"/>
        <v>1</v>
      </c>
      <c r="X37" s="259">
        <f t="shared" si="12"/>
        <v>1</v>
      </c>
      <c r="Y37" s="259">
        <f t="shared" si="13"/>
        <v>1</v>
      </c>
      <c r="Z37" s="259">
        <f t="shared" si="14"/>
        <v>0.81462204265395999</v>
      </c>
      <c r="AA37" s="259">
        <f t="shared" si="15"/>
        <v>0.81462204265395999</v>
      </c>
      <c r="AB37" s="259">
        <f t="shared" si="16"/>
        <v>0.77369135021671831</v>
      </c>
      <c r="AC37" s="259">
        <f t="shared" si="17"/>
        <v>0.77369135021671831</v>
      </c>
      <c r="AD37" s="259">
        <f t="shared" si="18"/>
        <v>3.6562315037278185E-2</v>
      </c>
      <c r="AE37" s="259">
        <f t="shared" si="19"/>
        <v>9.6479931281565207E-2</v>
      </c>
      <c r="AF37" s="259">
        <f t="shared" si="20"/>
        <v>1.2027090151659613E-2</v>
      </c>
      <c r="AG37" s="259">
        <f t="shared" si="21"/>
        <v>1.1436973211762848E-2</v>
      </c>
      <c r="AH37" s="259">
        <f t="shared" si="22"/>
        <v>0.20233036858676409</v>
      </c>
      <c r="AI37" s="259">
        <f t="shared" si="23"/>
        <v>0.10324307431131721</v>
      </c>
      <c r="AJ37" s="259">
        <f t="shared" si="24"/>
        <v>0.45910918816932877</v>
      </c>
      <c r="AK37" s="259">
        <f t="shared" si="25"/>
        <v>0.26898559952503881</v>
      </c>
      <c r="AL37" s="259">
        <f t="shared" si="26"/>
        <v>4.5591092046142444E-2</v>
      </c>
      <c r="AM37" s="259">
        <f t="shared" si="27"/>
        <v>0.1080252908851002</v>
      </c>
      <c r="AN37" s="259">
        <f t="shared" si="28"/>
        <v>0.83500971160986082</v>
      </c>
      <c r="AO37" s="259">
        <f t="shared" si="29"/>
        <v>0.9198772799238939</v>
      </c>
      <c r="AP37" s="259">
        <f t="shared" si="30"/>
        <v>0.2787207596100813</v>
      </c>
      <c r="AQ37" s="222"/>
      <c r="AR37" s="222"/>
      <c r="AS37" s="255"/>
      <c r="AT37" s="255"/>
      <c r="BK37" s="222"/>
      <c r="BL37" s="222"/>
    </row>
    <row r="38" spans="1:64">
      <c r="A38" s="257">
        <v>4</v>
      </c>
      <c r="B38" s="257">
        <v>1</v>
      </c>
      <c r="C38" s="257" t="s">
        <v>127</v>
      </c>
      <c r="D38" s="257">
        <v>0.2195</v>
      </c>
      <c r="E38" s="257">
        <v>0</v>
      </c>
      <c r="U38" s="225"/>
      <c r="V38" s="221" t="str">
        <f t="shared" si="10"/>
        <v>CH</v>
      </c>
      <c r="W38" s="259">
        <f t="shared" si="11"/>
        <v>1</v>
      </c>
      <c r="X38" s="259">
        <f t="shared" si="12"/>
        <v>1</v>
      </c>
      <c r="Y38" s="259">
        <f t="shared" si="13"/>
        <v>1</v>
      </c>
      <c r="Z38" s="259">
        <f t="shared" si="14"/>
        <v>0.81462204265395999</v>
      </c>
      <c r="AA38" s="259">
        <f t="shared" si="15"/>
        <v>0.81462204265395999</v>
      </c>
      <c r="AB38" s="259">
        <f t="shared" si="16"/>
        <v>0.77369135021671831</v>
      </c>
      <c r="AC38" s="259">
        <f t="shared" si="17"/>
        <v>0.77369135021671831</v>
      </c>
      <c r="AD38" s="259">
        <f t="shared" si="18"/>
        <v>3.6562315037278185E-2</v>
      </c>
      <c r="AE38" s="259">
        <f t="shared" si="19"/>
        <v>9.6479931281565207E-2</v>
      </c>
      <c r="AF38" s="259">
        <f t="shared" si="20"/>
        <v>1.2027090151659613E-2</v>
      </c>
      <c r="AG38" s="259">
        <f t="shared" si="21"/>
        <v>1.1436973211762848E-2</v>
      </c>
      <c r="AH38" s="259">
        <f t="shared" si="22"/>
        <v>0.20233036858676409</v>
      </c>
      <c r="AI38" s="259">
        <f t="shared" si="23"/>
        <v>0.10324307431131721</v>
      </c>
      <c r="AJ38" s="259">
        <f t="shared" si="24"/>
        <v>0.45910918816932877</v>
      </c>
      <c r="AK38" s="259">
        <f t="shared" si="25"/>
        <v>0.26898559952503881</v>
      </c>
      <c r="AL38" s="259">
        <f t="shared" si="26"/>
        <v>4.5591092046142444E-2</v>
      </c>
      <c r="AM38" s="259">
        <f t="shared" si="27"/>
        <v>0.1080252908851002</v>
      </c>
      <c r="AN38" s="259">
        <f t="shared" si="28"/>
        <v>0.83500971160986082</v>
      </c>
      <c r="AO38" s="259">
        <f t="shared" si="29"/>
        <v>0.9198772799238939</v>
      </c>
      <c r="AP38" s="259">
        <f t="shared" si="30"/>
        <v>0.2787207596100813</v>
      </c>
      <c r="AQ38" s="222"/>
      <c r="AR38" s="222"/>
      <c r="AS38" s="255"/>
      <c r="AT38" s="255"/>
      <c r="BK38" s="222"/>
      <c r="BL38" s="222"/>
    </row>
    <row r="39" spans="1:64">
      <c r="A39" s="257">
        <v>5</v>
      </c>
      <c r="B39" s="257">
        <v>2</v>
      </c>
      <c r="C39" s="257" t="s">
        <v>280</v>
      </c>
      <c r="D39" s="257">
        <v>1.3453999999999999</v>
      </c>
      <c r="E39" s="257">
        <v>1.1759999999999999</v>
      </c>
      <c r="U39" s="225"/>
      <c r="V39" s="221" t="str">
        <f t="shared" si="10"/>
        <v>ACH</v>
      </c>
      <c r="W39" s="259">
        <f t="shared" si="11"/>
        <v>1.0380009113747288</v>
      </c>
      <c r="X39" s="259">
        <f t="shared" si="12"/>
        <v>1.0380009113747288</v>
      </c>
      <c r="Y39" s="259">
        <f t="shared" si="13"/>
        <v>1.0380009113747288</v>
      </c>
      <c r="Z39" s="259">
        <f t="shared" si="14"/>
        <v>1</v>
      </c>
      <c r="AA39" s="259">
        <f t="shared" si="15"/>
        <v>1</v>
      </c>
      <c r="AB39" s="259">
        <f t="shared" si="16"/>
        <v>0.5711400976073886</v>
      </c>
      <c r="AC39" s="259">
        <f t="shared" si="17"/>
        <v>0.5711400976073886</v>
      </c>
      <c r="AD39" s="259">
        <f t="shared" si="18"/>
        <v>0.11842329185865</v>
      </c>
      <c r="AE39" s="259">
        <f t="shared" si="19"/>
        <v>0.11794761735227337</v>
      </c>
      <c r="AF39" s="259">
        <f t="shared" si="20"/>
        <v>4.8249970930970172E-2</v>
      </c>
      <c r="AG39" s="259">
        <f t="shared" si="21"/>
        <v>1.1591446289737302E-2</v>
      </c>
      <c r="AH39" s="259">
        <f t="shared" si="22"/>
        <v>0.91719699569492241</v>
      </c>
      <c r="AI39" s="259">
        <f t="shared" si="23"/>
        <v>0.31196948271590191</v>
      </c>
      <c r="AJ39" s="259">
        <f t="shared" si="24"/>
        <v>0.98009676292864267</v>
      </c>
      <c r="AK39" s="259">
        <f t="shared" si="25"/>
        <v>0.58138362415166611</v>
      </c>
      <c r="AL39" s="259">
        <f t="shared" si="26"/>
        <v>0.11371346575003993</v>
      </c>
      <c r="AM39" s="259">
        <f t="shared" si="27"/>
        <v>0.16489466019889587</v>
      </c>
      <c r="AN39" s="259">
        <f t="shared" si="28"/>
        <v>1.623070901711924</v>
      </c>
      <c r="AO39" s="259">
        <f t="shared" si="29"/>
        <v>2.176670490163914</v>
      </c>
      <c r="AP39" s="259">
        <f t="shared" si="30"/>
        <v>1</v>
      </c>
      <c r="AQ39" s="222"/>
      <c r="AR39" s="222"/>
      <c r="AS39" s="255"/>
      <c r="AT39" s="255"/>
      <c r="BK39" s="222"/>
      <c r="BL39" s="222"/>
    </row>
    <row r="40" spans="1:64">
      <c r="A40" s="257">
        <v>6</v>
      </c>
      <c r="B40" s="257">
        <v>2</v>
      </c>
      <c r="C40" s="257" t="s">
        <v>281</v>
      </c>
      <c r="D40" s="257">
        <v>1.1167</v>
      </c>
      <c r="E40" s="257">
        <v>0.86699999999999999</v>
      </c>
      <c r="U40" s="225"/>
      <c r="V40" s="221" t="str">
        <f t="shared" si="10"/>
        <v>AC</v>
      </c>
      <c r="W40" s="259">
        <f t="shared" si="11"/>
        <v>1.0380009113747288</v>
      </c>
      <c r="X40" s="259">
        <f t="shared" si="12"/>
        <v>1.0380009113747288</v>
      </c>
      <c r="Y40" s="259">
        <f t="shared" si="13"/>
        <v>1.0380009113747288</v>
      </c>
      <c r="Z40" s="259">
        <f t="shared" si="14"/>
        <v>1</v>
      </c>
      <c r="AA40" s="259">
        <f t="shared" si="15"/>
        <v>1</v>
      </c>
      <c r="AB40" s="259">
        <f t="shared" si="16"/>
        <v>0.5711400976073886</v>
      </c>
      <c r="AC40" s="259">
        <f t="shared" si="17"/>
        <v>0.5711400976073886</v>
      </c>
      <c r="AD40" s="259">
        <f t="shared" si="18"/>
        <v>0.11842329185865</v>
      </c>
      <c r="AE40" s="259">
        <f t="shared" si="19"/>
        <v>0.11794761735227337</v>
      </c>
      <c r="AF40" s="259">
        <f t="shared" si="20"/>
        <v>4.8249970930970172E-2</v>
      </c>
      <c r="AG40" s="259">
        <f t="shared" si="21"/>
        <v>1.1591446289737302E-2</v>
      </c>
      <c r="AH40" s="259">
        <f t="shared" si="22"/>
        <v>0.91719699569492241</v>
      </c>
      <c r="AI40" s="259">
        <f t="shared" si="23"/>
        <v>0.31196948271590191</v>
      </c>
      <c r="AJ40" s="259">
        <f t="shared" si="24"/>
        <v>0.98009676292864267</v>
      </c>
      <c r="AK40" s="259">
        <f t="shared" si="25"/>
        <v>0.58138362415166611</v>
      </c>
      <c r="AL40" s="259">
        <f t="shared" si="26"/>
        <v>0.11371346575003993</v>
      </c>
      <c r="AM40" s="259">
        <f t="shared" si="27"/>
        <v>0.16489466019889587</v>
      </c>
      <c r="AN40" s="259">
        <f t="shared" si="28"/>
        <v>1.623070901711924</v>
      </c>
      <c r="AO40" s="259">
        <f t="shared" si="29"/>
        <v>2.176670490163914</v>
      </c>
      <c r="AP40" s="259">
        <f t="shared" si="30"/>
        <v>1</v>
      </c>
      <c r="AQ40" s="222"/>
      <c r="AR40" s="222"/>
      <c r="AS40" s="255"/>
      <c r="AT40" s="255"/>
      <c r="BK40" s="222"/>
      <c r="BL40" s="222"/>
    </row>
    <row r="41" spans="1:64">
      <c r="A41" s="257">
        <v>7</v>
      </c>
      <c r="B41" s="257">
        <v>2</v>
      </c>
      <c r="C41" s="257" t="s">
        <v>282</v>
      </c>
      <c r="D41" s="257">
        <v>1.1173</v>
      </c>
      <c r="E41" s="257">
        <v>0.98799999999999999</v>
      </c>
      <c r="U41" s="225"/>
      <c r="V41" s="221" t="str">
        <f t="shared" si="10"/>
        <v>ACCH3</v>
      </c>
      <c r="W41" s="259">
        <f t="shared" si="11"/>
        <v>1.2633601353240085</v>
      </c>
      <c r="X41" s="259">
        <f t="shared" si="12"/>
        <v>1.2633601353240085</v>
      </c>
      <c r="Y41" s="259">
        <f t="shared" si="13"/>
        <v>1.2633601353240085</v>
      </c>
      <c r="Z41" s="259">
        <f t="shared" si="14"/>
        <v>1.6361887634574031</v>
      </c>
      <c r="AA41" s="259">
        <f t="shared" si="15"/>
        <v>1.6361887634574031</v>
      </c>
      <c r="AB41" s="259">
        <f t="shared" si="16"/>
        <v>1</v>
      </c>
      <c r="AC41" s="259">
        <f t="shared" si="17"/>
        <v>1</v>
      </c>
      <c r="AD41" s="259">
        <f t="shared" si="18"/>
        <v>6.7613608952077534E-2</v>
      </c>
      <c r="AE41" s="259">
        <f t="shared" si="19"/>
        <v>0.13223922138243857</v>
      </c>
      <c r="AF41" s="259">
        <f t="shared" si="20"/>
        <v>5.0639268591451167E-9</v>
      </c>
      <c r="AG41" s="259">
        <f t="shared" si="21"/>
        <v>5.1407605885154653E-2</v>
      </c>
      <c r="AH41" s="259">
        <f t="shared" si="22"/>
        <v>1.1909416017873322</v>
      </c>
      <c r="AI41" s="259">
        <f t="shared" si="23"/>
        <v>0.13981068233022192</v>
      </c>
      <c r="AJ41" s="259">
        <f t="shared" si="24"/>
        <v>5.184224977177369E-9</v>
      </c>
      <c r="AK41" s="259">
        <f t="shared" si="25"/>
        <v>0.93819881833799024</v>
      </c>
      <c r="AL41" s="259">
        <f t="shared" si="26"/>
        <v>0.10777196536106265</v>
      </c>
      <c r="AM41" s="259">
        <f t="shared" si="27"/>
        <v>5.362668201537292E-2</v>
      </c>
      <c r="AN41" s="259">
        <f t="shared" si="28"/>
        <v>1.4510621771863526</v>
      </c>
      <c r="AO41" s="259">
        <f t="shared" si="29"/>
        <v>1.3088643055632627</v>
      </c>
      <c r="AP41" s="259">
        <f t="shared" si="30"/>
        <v>1</v>
      </c>
      <c r="AQ41" s="222"/>
      <c r="AR41" s="222"/>
      <c r="AS41" s="255"/>
      <c r="AT41" s="255"/>
      <c r="BK41" s="222"/>
      <c r="BL41" s="222"/>
    </row>
    <row r="42" spans="1:64">
      <c r="A42" s="257">
        <v>8</v>
      </c>
      <c r="B42" s="257">
        <v>2</v>
      </c>
      <c r="C42" s="257" t="s">
        <v>283</v>
      </c>
      <c r="D42" s="257">
        <v>0.88859999999999995</v>
      </c>
      <c r="E42" s="257">
        <v>0.67600000000000005</v>
      </c>
      <c r="U42" s="225"/>
      <c r="V42" s="221" t="str">
        <f t="shared" si="10"/>
        <v>ACCH2</v>
      </c>
      <c r="W42" s="259">
        <f t="shared" si="11"/>
        <v>1.2633601353240085</v>
      </c>
      <c r="X42" s="259">
        <f t="shared" si="12"/>
        <v>1.2633601353240085</v>
      </c>
      <c r="Y42" s="259">
        <f t="shared" si="13"/>
        <v>1.2633601353240085</v>
      </c>
      <c r="Z42" s="259">
        <f t="shared" si="14"/>
        <v>1.6361887634574031</v>
      </c>
      <c r="AA42" s="259">
        <f t="shared" si="15"/>
        <v>1.6361887634574031</v>
      </c>
      <c r="AB42" s="259">
        <f t="shared" si="16"/>
        <v>1</v>
      </c>
      <c r="AC42" s="259">
        <f t="shared" si="17"/>
        <v>1</v>
      </c>
      <c r="AD42" s="259">
        <f t="shared" si="18"/>
        <v>6.7613608952077534E-2</v>
      </c>
      <c r="AE42" s="259">
        <f t="shared" si="19"/>
        <v>0.13223922138243857</v>
      </c>
      <c r="AF42" s="259">
        <f t="shared" si="20"/>
        <v>5.0639268591451167E-9</v>
      </c>
      <c r="AG42" s="259">
        <f t="shared" si="21"/>
        <v>5.1407605885154653E-2</v>
      </c>
      <c r="AH42" s="259">
        <f t="shared" si="22"/>
        <v>1.1909416017873322</v>
      </c>
      <c r="AI42" s="259">
        <f t="shared" si="23"/>
        <v>0.13981068233022192</v>
      </c>
      <c r="AJ42" s="259">
        <f t="shared" si="24"/>
        <v>5.184224977177369E-9</v>
      </c>
      <c r="AK42" s="259">
        <f t="shared" si="25"/>
        <v>0.93819881833799024</v>
      </c>
      <c r="AL42" s="259">
        <f t="shared" si="26"/>
        <v>0.10777196536106265</v>
      </c>
      <c r="AM42" s="259">
        <f t="shared" si="27"/>
        <v>5.362668201537292E-2</v>
      </c>
      <c r="AN42" s="259">
        <f t="shared" si="28"/>
        <v>1.4510621771863526</v>
      </c>
      <c r="AO42" s="259">
        <f t="shared" si="29"/>
        <v>1.3088643055632627</v>
      </c>
      <c r="AP42" s="259">
        <f t="shared" si="30"/>
        <v>1</v>
      </c>
      <c r="AQ42" s="222"/>
      <c r="AR42" s="222"/>
      <c r="AS42" s="255"/>
      <c r="AT42" s="255"/>
      <c r="BK42" s="222"/>
      <c r="BL42" s="222"/>
    </row>
    <row r="43" spans="1:64">
      <c r="A43" s="257">
        <v>70</v>
      </c>
      <c r="B43" s="257">
        <v>2</v>
      </c>
      <c r="C43" s="257" t="s">
        <v>284</v>
      </c>
      <c r="D43" s="257">
        <v>0.66049999999999998</v>
      </c>
      <c r="E43" s="257">
        <v>0.48499999999999999</v>
      </c>
      <c r="U43" s="225"/>
      <c r="V43" s="221" t="str">
        <f t="shared" si="10"/>
        <v>OH</v>
      </c>
      <c r="W43" s="259">
        <f t="shared" si="11"/>
        <v>0.5918108706562526</v>
      </c>
      <c r="X43" s="259">
        <f t="shared" si="12"/>
        <v>0.5918108706562526</v>
      </c>
      <c r="Y43" s="259">
        <f t="shared" si="13"/>
        <v>0.5918108706562526</v>
      </c>
      <c r="Z43" s="259">
        <f t="shared" si="14"/>
        <v>0.74043318971837557</v>
      </c>
      <c r="AA43" s="259">
        <f t="shared" si="15"/>
        <v>0.74043318971837557</v>
      </c>
      <c r="AB43" s="259">
        <f t="shared" si="16"/>
        <v>0.91704319390175637</v>
      </c>
      <c r="AC43" s="259">
        <f t="shared" si="17"/>
        <v>0.91704319390175637</v>
      </c>
      <c r="AD43" s="259">
        <f t="shared" si="18"/>
        <v>1</v>
      </c>
      <c r="AE43" s="259">
        <f t="shared" si="19"/>
        <v>1.5838136688873363</v>
      </c>
      <c r="AF43" s="259">
        <f t="shared" si="20"/>
        <v>0.30554909495663207</v>
      </c>
      <c r="AG43" s="259">
        <f t="shared" si="21"/>
        <v>2.3893899160019254</v>
      </c>
      <c r="AH43" s="259">
        <f t="shared" si="22"/>
        <v>0.75447179751408056</v>
      </c>
      <c r="AI43" s="259">
        <f t="shared" si="23"/>
        <v>1.9795662322818202</v>
      </c>
      <c r="AJ43" s="259">
        <f t="shared" si="24"/>
        <v>0.71241757228967184</v>
      </c>
      <c r="AK43" s="259">
        <f t="shared" si="25"/>
        <v>0.97143063750851899</v>
      </c>
      <c r="AL43" s="259">
        <f t="shared" si="26"/>
        <v>1.1921005522655992</v>
      </c>
      <c r="AM43" s="259">
        <f t="shared" si="27"/>
        <v>0.51301547401137271</v>
      </c>
      <c r="AN43" s="259">
        <f t="shared" si="28"/>
        <v>0.80336173031060243</v>
      </c>
      <c r="AO43" s="259">
        <f t="shared" si="29"/>
        <v>1.3897113901118905</v>
      </c>
      <c r="AP43" s="259">
        <f t="shared" si="30"/>
        <v>3.6095463136297745</v>
      </c>
      <c r="AQ43" s="222"/>
      <c r="AR43" s="222"/>
      <c r="AS43" s="255"/>
      <c r="AT43" s="255"/>
      <c r="BK43" s="222"/>
      <c r="BL43" s="222"/>
    </row>
    <row r="44" spans="1:64">
      <c r="A44" s="257">
        <v>9</v>
      </c>
      <c r="B44" s="257">
        <v>3</v>
      </c>
      <c r="C44" s="257" t="s">
        <v>162</v>
      </c>
      <c r="D44" s="257">
        <v>0.53129999999999999</v>
      </c>
      <c r="E44" s="257">
        <v>0.4</v>
      </c>
      <c r="U44" s="225"/>
      <c r="V44" s="221" t="str">
        <f t="shared" si="10"/>
        <v>CH3OH</v>
      </c>
      <c r="W44" s="259">
        <f t="shared" si="11"/>
        <v>0.94613046106461629</v>
      </c>
      <c r="X44" s="259">
        <f t="shared" si="12"/>
        <v>0.94613046106461629</v>
      </c>
      <c r="Y44" s="259">
        <f t="shared" si="13"/>
        <v>0.94613046106461629</v>
      </c>
      <c r="Z44" s="259">
        <f t="shared" si="14"/>
        <v>1.1825827546595307</v>
      </c>
      <c r="AA44" s="259">
        <f t="shared" si="15"/>
        <v>1.1825827546595307</v>
      </c>
      <c r="AB44" s="259">
        <f t="shared" si="16"/>
        <v>1.160967525690739</v>
      </c>
      <c r="AC44" s="259">
        <f t="shared" si="17"/>
        <v>1.160967525690739</v>
      </c>
      <c r="AD44" s="259">
        <f t="shared" si="18"/>
        <v>0.43366388915280352</v>
      </c>
      <c r="AE44" s="259">
        <f t="shared" si="19"/>
        <v>1</v>
      </c>
      <c r="AF44" s="259">
        <f t="shared" si="20"/>
        <v>1.8350596259368412</v>
      </c>
      <c r="AG44" s="259">
        <f t="shared" si="21"/>
        <v>1.4064987657394561</v>
      </c>
      <c r="AH44" s="259">
        <f t="shared" si="22"/>
        <v>0.92454787531439342</v>
      </c>
      <c r="AI44" s="259">
        <f t="shared" si="23"/>
        <v>0.35783952917999828</v>
      </c>
      <c r="AJ44" s="259">
        <f t="shared" si="24"/>
        <v>1.0366092562639033</v>
      </c>
      <c r="AK44" s="259">
        <f t="shared" si="25"/>
        <v>0.29966259967757253</v>
      </c>
      <c r="AL44" s="259">
        <f t="shared" si="26"/>
        <v>0.19350308024444521</v>
      </c>
      <c r="AM44" s="259">
        <f t="shared" si="27"/>
        <v>1.9689714893787695</v>
      </c>
      <c r="AN44" s="259">
        <f t="shared" si="28"/>
        <v>1.4102777693888271</v>
      </c>
      <c r="AO44" s="259">
        <f t="shared" si="29"/>
        <v>1.5960788315258969</v>
      </c>
      <c r="AP44" s="259">
        <f t="shared" si="30"/>
        <v>1</v>
      </c>
      <c r="AQ44" s="222"/>
      <c r="AR44" s="222"/>
      <c r="AS44" s="255"/>
      <c r="AT44" s="255"/>
      <c r="BK44" s="222"/>
      <c r="BL44" s="222"/>
    </row>
    <row r="45" spans="1:64">
      <c r="A45" s="257">
        <v>10</v>
      </c>
      <c r="B45" s="257">
        <v>3</v>
      </c>
      <c r="C45" s="257" t="s">
        <v>285</v>
      </c>
      <c r="D45" s="257">
        <v>0.36520000000000002</v>
      </c>
      <c r="E45" s="257">
        <v>0.12</v>
      </c>
      <c r="U45" s="225"/>
      <c r="V45" s="221" t="str">
        <f t="shared" si="10"/>
        <v>H2O</v>
      </c>
      <c r="W45" s="259">
        <f t="shared" si="11"/>
        <v>0.36560384210985092</v>
      </c>
      <c r="X45" s="259">
        <f t="shared" si="12"/>
        <v>0.36560384210985092</v>
      </c>
      <c r="Y45" s="259">
        <f t="shared" si="13"/>
        <v>0.36560384210985092</v>
      </c>
      <c r="Z45" s="259">
        <f t="shared" si="14"/>
        <v>0.29666249871893907</v>
      </c>
      <c r="AA45" s="259">
        <f t="shared" si="15"/>
        <v>0.29666249871893907</v>
      </c>
      <c r="AB45" s="259">
        <f t="shared" si="16"/>
        <v>0.28182284751797571</v>
      </c>
      <c r="AC45" s="259">
        <f t="shared" si="17"/>
        <v>0.28182284751797571</v>
      </c>
      <c r="AD45" s="259">
        <f t="shared" si="18"/>
        <v>2.1563245285928661</v>
      </c>
      <c r="AE45" s="259">
        <f t="shared" si="19"/>
        <v>0.37858178248020219</v>
      </c>
      <c r="AF45" s="259">
        <f t="shared" si="20"/>
        <v>1</v>
      </c>
      <c r="AG45" s="259">
        <f t="shared" si="21"/>
        <v>0.33676216721209301</v>
      </c>
      <c r="AH45" s="259">
        <f t="shared" si="22"/>
        <v>1.9258642178587113</v>
      </c>
      <c r="AI45" s="259">
        <f t="shared" si="23"/>
        <v>1.4756017997646802</v>
      </c>
      <c r="AJ45" s="259">
        <f t="shared" si="24"/>
        <v>0.78316868059189881</v>
      </c>
      <c r="AK45" s="259">
        <f t="shared" si="25"/>
        <v>0.8487608102731159</v>
      </c>
      <c r="AL45" s="259">
        <f t="shared" si="26"/>
        <v>0.44233100507537937</v>
      </c>
      <c r="AM45" s="259">
        <f t="shared" si="27"/>
        <v>1.0483925554402866</v>
      </c>
      <c r="AN45" s="259">
        <f t="shared" si="28"/>
        <v>0.28871140529209915</v>
      </c>
      <c r="AO45" s="259">
        <f t="shared" si="29"/>
        <v>0.30534420034908605</v>
      </c>
      <c r="AP45" s="259">
        <f t="shared" si="30"/>
        <v>6.0651183339927965E-2</v>
      </c>
      <c r="AQ45" s="222"/>
      <c r="AR45" s="222"/>
      <c r="AS45" s="255"/>
      <c r="AT45" s="255"/>
      <c r="BK45" s="222"/>
      <c r="BL45" s="222"/>
    </row>
    <row r="46" spans="1:64">
      <c r="A46" s="257">
        <v>11</v>
      </c>
      <c r="B46" s="257">
        <v>4</v>
      </c>
      <c r="C46" s="257" t="s">
        <v>164</v>
      </c>
      <c r="D46" s="257">
        <v>1.2663</v>
      </c>
      <c r="E46" s="257">
        <v>0.96799999999999997</v>
      </c>
      <c r="U46" s="225"/>
      <c r="V46" s="221" t="str">
        <f t="shared" si="10"/>
        <v>ACOH</v>
      </c>
      <c r="W46" s="259">
        <f t="shared" si="11"/>
        <v>0.39651645716218614</v>
      </c>
      <c r="X46" s="259">
        <f t="shared" si="12"/>
        <v>0.39651645716218614</v>
      </c>
      <c r="Y46" s="259">
        <f t="shared" si="13"/>
        <v>0.39651645716218614</v>
      </c>
      <c r="Z46" s="259">
        <f t="shared" si="14"/>
        <v>0.91852075638009578</v>
      </c>
      <c r="AA46" s="259">
        <f t="shared" si="15"/>
        <v>0.91852075638009578</v>
      </c>
      <c r="AB46" s="259">
        <f t="shared" si="16"/>
        <v>0.4408499048205462</v>
      </c>
      <c r="AC46" s="259">
        <f t="shared" si="17"/>
        <v>0.4408499048205462</v>
      </c>
      <c r="AD46" s="259">
        <f t="shared" si="18"/>
        <v>4.5479374472992911</v>
      </c>
      <c r="AE46" s="259">
        <f t="shared" si="19"/>
        <v>2.4338762681067143</v>
      </c>
      <c r="AF46" s="259">
        <f t="shared" si="20"/>
        <v>7.5266276811733199</v>
      </c>
      <c r="AG46" s="259">
        <f t="shared" si="21"/>
        <v>1</v>
      </c>
      <c r="AH46" s="259">
        <f t="shared" si="22"/>
        <v>3.3014615104698843</v>
      </c>
      <c r="AI46" s="259">
        <f t="shared" si="23"/>
        <v>2.4825192109122525</v>
      </c>
      <c r="AJ46" s="259">
        <f t="shared" si="24"/>
        <v>4.5145024693420357</v>
      </c>
      <c r="AK46" s="259">
        <f t="shared" si="25"/>
        <v>1</v>
      </c>
      <c r="AL46" s="259">
        <f t="shared" si="26"/>
        <v>0.66888270002126582</v>
      </c>
      <c r="AM46" s="259">
        <f t="shared" si="27"/>
        <v>0.25373691406557125</v>
      </c>
      <c r="AN46" s="259">
        <f t="shared" si="28"/>
        <v>1</v>
      </c>
      <c r="AO46" s="259">
        <f t="shared" si="29"/>
        <v>1</v>
      </c>
      <c r="AP46" s="259">
        <f t="shared" si="30"/>
        <v>1</v>
      </c>
      <c r="AQ46" s="222"/>
      <c r="AR46" s="222"/>
      <c r="AS46" s="255"/>
      <c r="AT46" s="255"/>
      <c r="BK46" s="222"/>
      <c r="BL46" s="222"/>
    </row>
    <row r="47" spans="1:64">
      <c r="A47" s="257">
        <v>12</v>
      </c>
      <c r="B47" s="257">
        <v>4</v>
      </c>
      <c r="C47" s="257" t="s">
        <v>163</v>
      </c>
      <c r="D47" s="257">
        <v>1.0396000000000001</v>
      </c>
      <c r="E47" s="257">
        <v>0.66</v>
      </c>
      <c r="F47" s="250"/>
      <c r="G47" s="250"/>
      <c r="H47" s="250"/>
      <c r="U47" s="225"/>
      <c r="V47" s="221" t="str">
        <f t="shared" si="10"/>
        <v>CH3CO</v>
      </c>
      <c r="W47" s="259">
        <f t="shared" si="11"/>
        <v>0.91415651555016475</v>
      </c>
      <c r="X47" s="259">
        <f t="shared" si="12"/>
        <v>0.91415651555016475</v>
      </c>
      <c r="Y47" s="259">
        <f t="shared" si="13"/>
        <v>0.91415651555016475</v>
      </c>
      <c r="Z47" s="259">
        <f t="shared" si="14"/>
        <v>0.62506620772339327</v>
      </c>
      <c r="AA47" s="259">
        <f t="shared" si="15"/>
        <v>0.62506620772339327</v>
      </c>
      <c r="AB47" s="259">
        <f t="shared" si="16"/>
        <v>0.29320032168851545</v>
      </c>
      <c r="AC47" s="259">
        <f t="shared" si="17"/>
        <v>0.29320032168851545</v>
      </c>
      <c r="AD47" s="259">
        <f t="shared" si="18"/>
        <v>0.57594926514855604</v>
      </c>
      <c r="AE47" s="259">
        <f t="shared" si="19"/>
        <v>0.69448717293817275</v>
      </c>
      <c r="AF47" s="259">
        <f t="shared" si="20"/>
        <v>0.20499436964104237</v>
      </c>
      <c r="AG47" s="259">
        <f t="shared" si="21"/>
        <v>1.5627070212563459</v>
      </c>
      <c r="AH47" s="259">
        <f t="shared" si="22"/>
        <v>1</v>
      </c>
      <c r="AI47" s="259">
        <f t="shared" si="23"/>
        <v>1.1334953107589858</v>
      </c>
      <c r="AJ47" s="259">
        <f t="shared" si="24"/>
        <v>2.0477739233429118</v>
      </c>
      <c r="AK47" s="259">
        <f t="shared" si="25"/>
        <v>1</v>
      </c>
      <c r="AL47" s="259">
        <f t="shared" si="26"/>
        <v>9.277526946852147E-10</v>
      </c>
      <c r="AM47" s="259">
        <f t="shared" si="27"/>
        <v>0.10590862325853043</v>
      </c>
      <c r="AN47" s="259">
        <f t="shared" si="28"/>
        <v>1.5480999518147542</v>
      </c>
      <c r="AO47" s="259">
        <f t="shared" si="29"/>
        <v>3.284893488233541</v>
      </c>
      <c r="AP47" s="259">
        <f t="shared" si="30"/>
        <v>1</v>
      </c>
      <c r="AQ47" s="222"/>
      <c r="AR47" s="222"/>
      <c r="AS47" s="255"/>
      <c r="AT47" s="255"/>
      <c r="BK47" s="222"/>
      <c r="BL47" s="222"/>
    </row>
    <row r="48" spans="1:64">
      <c r="A48" s="257">
        <v>13</v>
      </c>
      <c r="B48" s="257">
        <v>4</v>
      </c>
      <c r="C48" s="257" t="s">
        <v>286</v>
      </c>
      <c r="D48" s="257">
        <v>0.81210000000000004</v>
      </c>
      <c r="E48" s="257">
        <v>0.34799999999999998</v>
      </c>
      <c r="U48" s="225"/>
      <c r="V48" s="221" t="str">
        <f t="shared" si="10"/>
        <v>CHO</v>
      </c>
      <c r="W48" s="259">
        <f t="shared" si="11"/>
        <v>0.1833925922828181</v>
      </c>
      <c r="X48" s="259">
        <f t="shared" si="12"/>
        <v>0.1833925922828181</v>
      </c>
      <c r="Y48" s="259">
        <f t="shared" si="13"/>
        <v>0.1833925922828181</v>
      </c>
      <c r="Z48" s="259">
        <f t="shared" si="14"/>
        <v>0.92454787531439342</v>
      </c>
      <c r="AA48" s="259">
        <f t="shared" si="15"/>
        <v>0.92454787531439342</v>
      </c>
      <c r="AB48" s="259">
        <f t="shared" si="16"/>
        <v>0.70080490371365678</v>
      </c>
      <c r="AC48" s="259">
        <f t="shared" si="17"/>
        <v>0.70080490371365678</v>
      </c>
      <c r="AD48" s="259">
        <f t="shared" si="18"/>
        <v>0.16960642146220831</v>
      </c>
      <c r="AE48" s="259">
        <f t="shared" si="19"/>
        <v>3.1300105998451251</v>
      </c>
      <c r="AF48" s="259">
        <f t="shared" si="20"/>
        <v>0.19936636797681434</v>
      </c>
      <c r="AG48" s="259">
        <f t="shared" si="21"/>
        <v>1.6852011899430017</v>
      </c>
      <c r="AH48" s="259">
        <f t="shared" si="22"/>
        <v>0.65095542959634878</v>
      </c>
      <c r="AI48" s="259">
        <f t="shared" si="23"/>
        <v>1</v>
      </c>
      <c r="AJ48" s="259">
        <f t="shared" si="24"/>
        <v>1.4476593528714634</v>
      </c>
      <c r="AK48" s="259">
        <f t="shared" si="25"/>
        <v>1</v>
      </c>
      <c r="AL48" s="259">
        <f t="shared" si="26"/>
        <v>1</v>
      </c>
      <c r="AM48" s="259">
        <f t="shared" si="27"/>
        <v>0.18850642717550509</v>
      </c>
      <c r="AN48" s="259">
        <f t="shared" si="28"/>
        <v>0.79734869244157913</v>
      </c>
      <c r="AO48" s="259">
        <f t="shared" si="29"/>
        <v>5.064916994215821</v>
      </c>
      <c r="AP48" s="259">
        <f t="shared" si="30"/>
        <v>1</v>
      </c>
      <c r="AQ48" s="222"/>
      <c r="AR48" s="222"/>
      <c r="AS48" s="255"/>
      <c r="AT48" s="255"/>
      <c r="BK48" s="222"/>
      <c r="BL48" s="222"/>
    </row>
    <row r="49" spans="1:64">
      <c r="A49" s="257">
        <v>14</v>
      </c>
      <c r="B49" s="257">
        <v>5</v>
      </c>
      <c r="C49" s="257" t="s">
        <v>165</v>
      </c>
      <c r="D49" s="257">
        <v>1</v>
      </c>
      <c r="E49" s="257">
        <v>1.2</v>
      </c>
      <c r="R49" s="250"/>
      <c r="U49" s="225"/>
      <c r="V49" s="221" t="str">
        <f t="shared" si="10"/>
        <v>CH3COO</v>
      </c>
      <c r="W49" s="259">
        <f t="shared" si="11"/>
        <v>0.68042267930686384</v>
      </c>
      <c r="X49" s="259">
        <f t="shared" si="12"/>
        <v>0.68042267930686384</v>
      </c>
      <c r="Y49" s="259">
        <f t="shared" si="13"/>
        <v>0.68042267930686384</v>
      </c>
      <c r="Z49" s="259">
        <f t="shared" si="14"/>
        <v>0.74982999554469187</v>
      </c>
      <c r="AA49" s="259">
        <f t="shared" si="15"/>
        <v>0.74982999554469187</v>
      </c>
      <c r="AB49" s="259">
        <f t="shared" si="16"/>
        <v>1.7685903094005786</v>
      </c>
      <c r="AC49" s="259">
        <f t="shared" si="17"/>
        <v>1.7685903094005786</v>
      </c>
      <c r="AD49" s="259">
        <f t="shared" si="18"/>
        <v>0.43907912934580262</v>
      </c>
      <c r="AE49" s="259">
        <f t="shared" si="19"/>
        <v>0.43293724071513062</v>
      </c>
      <c r="AF49" s="259">
        <f t="shared" si="20"/>
        <v>0.50992761225948302</v>
      </c>
      <c r="AG49" s="259">
        <f t="shared" si="21"/>
        <v>1.1310647927148576</v>
      </c>
      <c r="AH49" s="259">
        <f t="shared" si="22"/>
        <v>0.28697363917996815</v>
      </c>
      <c r="AI49" s="259">
        <f t="shared" si="23"/>
        <v>0.53749896634600614</v>
      </c>
      <c r="AJ49" s="259">
        <f t="shared" si="24"/>
        <v>1</v>
      </c>
      <c r="AK49" s="259">
        <f t="shared" si="25"/>
        <v>1</v>
      </c>
      <c r="AL49" s="259">
        <f t="shared" si="26"/>
        <v>0.20294204877905864</v>
      </c>
      <c r="AM49" s="259">
        <f t="shared" si="27"/>
        <v>0.10922758363527149</v>
      </c>
      <c r="AN49" s="259">
        <f t="shared" si="28"/>
        <v>0.69402146487654326</v>
      </c>
      <c r="AO49" s="259">
        <f t="shared" si="29"/>
        <v>2.0204843226297839</v>
      </c>
      <c r="AP49" s="259">
        <f t="shared" si="30"/>
        <v>1</v>
      </c>
      <c r="AQ49" s="222"/>
      <c r="AR49" s="222"/>
      <c r="AS49" s="255"/>
      <c r="AT49" s="255"/>
      <c r="BK49" s="222"/>
      <c r="BL49" s="222"/>
    </row>
    <row r="50" spans="1:64">
      <c r="A50" s="257">
        <v>15</v>
      </c>
      <c r="B50" s="257">
        <v>6</v>
      </c>
      <c r="C50" s="257" t="s">
        <v>287</v>
      </c>
      <c r="D50" s="257">
        <v>1.4311</v>
      </c>
      <c r="E50" s="257">
        <v>1.4319999999999999</v>
      </c>
      <c r="I50" s="250"/>
      <c r="J50" s="250"/>
      <c r="K50" s="250"/>
      <c r="L50" s="250"/>
      <c r="M50" s="250"/>
      <c r="N50" s="250"/>
      <c r="O50" s="250"/>
      <c r="P50" s="250"/>
      <c r="Q50" s="250"/>
      <c r="U50" s="225"/>
      <c r="V50" s="221" t="str">
        <f t="shared" si="10"/>
        <v>CH2NH2</v>
      </c>
      <c r="W50" s="259">
        <f t="shared" si="11"/>
        <v>1.1076386654561763</v>
      </c>
      <c r="X50" s="259">
        <f t="shared" si="12"/>
        <v>1.1076386654561763</v>
      </c>
      <c r="Y50" s="259">
        <f t="shared" si="13"/>
        <v>1.1076386654561763</v>
      </c>
      <c r="Z50" s="259">
        <f t="shared" si="14"/>
        <v>1.1623311923986885</v>
      </c>
      <c r="AA50" s="259">
        <f t="shared" si="15"/>
        <v>1.1623311923986885</v>
      </c>
      <c r="AB50" s="259">
        <f t="shared" si="16"/>
        <v>0.3700450695234121</v>
      </c>
      <c r="AC50" s="259">
        <f t="shared" si="17"/>
        <v>0.3700450695234121</v>
      </c>
      <c r="AD50" s="259">
        <f t="shared" si="18"/>
        <v>2.2577194036120427</v>
      </c>
      <c r="AE50" s="259">
        <f t="shared" si="19"/>
        <v>5.0310550649808627</v>
      </c>
      <c r="AF50" s="259">
        <f t="shared" si="20"/>
        <v>3.0288016008591119</v>
      </c>
      <c r="AG50" s="259">
        <f t="shared" si="21"/>
        <v>1</v>
      </c>
      <c r="AH50" s="259">
        <f t="shared" si="22"/>
        <v>1</v>
      </c>
      <c r="AI50" s="259">
        <f t="shared" si="23"/>
        <v>1</v>
      </c>
      <c r="AJ50" s="259">
        <f t="shared" si="24"/>
        <v>1</v>
      </c>
      <c r="AK50" s="259">
        <f t="shared" si="25"/>
        <v>1</v>
      </c>
      <c r="AL50" s="259">
        <f t="shared" si="26"/>
        <v>1.9604050272309697</v>
      </c>
      <c r="AM50" s="259">
        <f t="shared" si="27"/>
        <v>1</v>
      </c>
      <c r="AN50" s="259">
        <f t="shared" si="28"/>
        <v>1</v>
      </c>
      <c r="AO50" s="259">
        <f t="shared" si="29"/>
        <v>1</v>
      </c>
      <c r="AP50" s="259">
        <f t="shared" si="30"/>
        <v>1</v>
      </c>
      <c r="AQ50" s="222"/>
      <c r="AR50" s="222"/>
      <c r="AS50" s="255"/>
      <c r="AT50" s="255"/>
      <c r="BK50" s="222"/>
      <c r="BL50" s="222"/>
    </row>
    <row r="51" spans="1:64">
      <c r="A51" s="257">
        <v>16</v>
      </c>
      <c r="B51" s="257">
        <v>7</v>
      </c>
      <c r="C51" s="257" t="s">
        <v>167</v>
      </c>
      <c r="D51" s="257">
        <v>0.92</v>
      </c>
      <c r="E51" s="257">
        <v>1.4</v>
      </c>
      <c r="V51" s="221" t="str">
        <f t="shared" si="10"/>
        <v>ACNH2</v>
      </c>
      <c r="W51" s="259">
        <f t="shared" si="11"/>
        <v>2.1922873852175999E-2</v>
      </c>
      <c r="X51" s="259">
        <f t="shared" si="12"/>
        <v>2.1922873852175999E-2</v>
      </c>
      <c r="Y51" s="259">
        <f t="shared" si="13"/>
        <v>2.1922873852175999E-2</v>
      </c>
      <c r="Z51" s="259">
        <f t="shared" si="14"/>
        <v>0.43599737007758854</v>
      </c>
      <c r="AA51" s="259">
        <f t="shared" si="15"/>
        <v>0.43599737007758854</v>
      </c>
      <c r="AB51" s="259">
        <f t="shared" si="16"/>
        <v>7.7425140661885217E-2</v>
      </c>
      <c r="AC51" s="259">
        <f t="shared" si="17"/>
        <v>7.7425140661885217E-2</v>
      </c>
      <c r="AD51" s="259">
        <f t="shared" si="18"/>
        <v>1.060096440896759</v>
      </c>
      <c r="AE51" s="259">
        <f t="shared" si="19"/>
        <v>1.4860317927754383</v>
      </c>
      <c r="AF51" s="259">
        <f t="shared" si="20"/>
        <v>3.1447425103151585</v>
      </c>
      <c r="AG51" s="259">
        <f t="shared" si="21"/>
        <v>2.3370783003020548</v>
      </c>
      <c r="AH51" s="259">
        <f t="shared" si="22"/>
        <v>4.5281506021351987</v>
      </c>
      <c r="AI51" s="259">
        <f t="shared" si="23"/>
        <v>1</v>
      </c>
      <c r="AJ51" s="259">
        <f t="shared" si="24"/>
        <v>2.6879102821937777</v>
      </c>
      <c r="AK51" s="259">
        <f t="shared" si="25"/>
        <v>1.0518442243840125</v>
      </c>
      <c r="AL51" s="259">
        <f t="shared" si="26"/>
        <v>1</v>
      </c>
      <c r="AM51" s="259">
        <f t="shared" si="27"/>
        <v>3.7742078066412219</v>
      </c>
      <c r="AN51" s="259">
        <f t="shared" si="28"/>
        <v>1.4510621771863526</v>
      </c>
      <c r="AO51" s="259">
        <f t="shared" si="29"/>
        <v>1</v>
      </c>
      <c r="AP51" s="259">
        <f t="shared" si="30"/>
        <v>1</v>
      </c>
      <c r="AQ51" s="222"/>
      <c r="AR51" s="222"/>
      <c r="AS51" s="255"/>
      <c r="AT51" s="255"/>
      <c r="BK51" s="222"/>
      <c r="BL51" s="222"/>
    </row>
    <row r="52" spans="1:64">
      <c r="A52" s="257">
        <v>17</v>
      </c>
      <c r="B52" s="257">
        <v>8</v>
      </c>
      <c r="C52" s="257" t="s">
        <v>168</v>
      </c>
      <c r="D52" s="257">
        <v>0.8952</v>
      </c>
      <c r="E52" s="257">
        <v>0.68</v>
      </c>
      <c r="V52" s="221" t="str">
        <f t="shared" si="10"/>
        <v>COOH</v>
      </c>
      <c r="W52" s="259">
        <f t="shared" si="11"/>
        <v>0.34731560710181775</v>
      </c>
      <c r="X52" s="259">
        <f t="shared" si="12"/>
        <v>0.34731560710181775</v>
      </c>
      <c r="Y52" s="259">
        <f t="shared" si="13"/>
        <v>0.34731560710181775</v>
      </c>
      <c r="Z52" s="259">
        <f t="shared" si="14"/>
        <v>0.81137713831608227</v>
      </c>
      <c r="AA52" s="259">
        <f t="shared" si="15"/>
        <v>0.81137713831608227</v>
      </c>
      <c r="AB52" s="259">
        <f t="shared" si="16"/>
        <v>0.73953969621811322</v>
      </c>
      <c r="AC52" s="259">
        <f t="shared" si="17"/>
        <v>0.73953969621811322</v>
      </c>
      <c r="AD52" s="259">
        <f t="shared" si="18"/>
        <v>1.6594006478111554</v>
      </c>
      <c r="AE52" s="259">
        <f t="shared" si="19"/>
        <v>0.31991665043566153</v>
      </c>
      <c r="AF52" s="259">
        <f t="shared" si="20"/>
        <v>1.2484905573119909</v>
      </c>
      <c r="AG52" s="259">
        <f t="shared" si="21"/>
        <v>1.0375832187833207</v>
      </c>
      <c r="AH52" s="259">
        <f t="shared" si="22"/>
        <v>2.7150926940225482</v>
      </c>
      <c r="AI52" s="259">
        <f t="shared" si="23"/>
        <v>1.7420972786252971</v>
      </c>
      <c r="AJ52" s="259">
        <f t="shared" si="24"/>
        <v>2.3622969089113153</v>
      </c>
      <c r="AK52" s="259">
        <f t="shared" si="25"/>
        <v>1</v>
      </c>
      <c r="AL52" s="259">
        <f t="shared" si="26"/>
        <v>0.19086034136253521</v>
      </c>
      <c r="AM52" s="259">
        <f t="shared" si="27"/>
        <v>1</v>
      </c>
      <c r="AN52" s="259">
        <f t="shared" si="28"/>
        <v>1.1617465677857848</v>
      </c>
      <c r="AO52" s="259">
        <f t="shared" si="29"/>
        <v>0.87553541990055395</v>
      </c>
      <c r="AP52" s="259">
        <f t="shared" si="30"/>
        <v>2.947624220489883</v>
      </c>
      <c r="AQ52" s="222"/>
      <c r="AR52" s="222"/>
      <c r="AS52" s="255"/>
      <c r="AT52" s="255"/>
      <c r="BK52" s="222"/>
      <c r="BL52" s="222"/>
    </row>
    <row r="53" spans="1:64" s="250" customFormat="1">
      <c r="A53" s="257">
        <v>18</v>
      </c>
      <c r="B53" s="257">
        <v>9</v>
      </c>
      <c r="C53" s="257" t="s">
        <v>169</v>
      </c>
      <c r="D53" s="257">
        <v>1.6724000000000001</v>
      </c>
      <c r="E53" s="257">
        <v>1.488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T53" s="233"/>
      <c r="U53" s="221"/>
      <c r="V53" s="221" t="str">
        <f t="shared" si="10"/>
        <v>CCL2</v>
      </c>
      <c r="W53" s="259">
        <f t="shared" si="11"/>
        <v>0.89192613295238909</v>
      </c>
      <c r="X53" s="259">
        <f t="shared" si="12"/>
        <v>0.89192613295238909</v>
      </c>
      <c r="Y53" s="259">
        <f t="shared" si="13"/>
        <v>0.89192613295238909</v>
      </c>
      <c r="Z53" s="259">
        <f t="shared" si="14"/>
        <v>0.66574924155229886</v>
      </c>
      <c r="AA53" s="259">
        <f t="shared" si="15"/>
        <v>0.66574924155229886</v>
      </c>
      <c r="AB53" s="259">
        <f t="shared" si="16"/>
        <v>0.62360039149339475</v>
      </c>
      <c r="AC53" s="259">
        <f t="shared" si="17"/>
        <v>0.62360039149339475</v>
      </c>
      <c r="AD53" s="259">
        <f t="shared" si="18"/>
        <v>0.17040470202274305</v>
      </c>
      <c r="AE53" s="259">
        <f t="shared" si="19"/>
        <v>0.10573116247022901</v>
      </c>
      <c r="AF53" s="259">
        <f t="shared" si="20"/>
        <v>9.2829440080110542E-2</v>
      </c>
      <c r="AG53" s="259">
        <f t="shared" si="21"/>
        <v>1</v>
      </c>
      <c r="AH53" s="259">
        <f t="shared" si="22"/>
        <v>0.75736210196764653</v>
      </c>
      <c r="AI53" s="259">
        <f t="shared" si="23"/>
        <v>0.52767456870255958</v>
      </c>
      <c r="AJ53" s="259">
        <f t="shared" si="24"/>
        <v>1.5621829746411182</v>
      </c>
      <c r="AK53" s="259">
        <f t="shared" si="25"/>
        <v>1</v>
      </c>
      <c r="AL53" s="259">
        <f t="shared" si="26"/>
        <v>0.62360039149339475</v>
      </c>
      <c r="AM53" s="259">
        <f t="shared" si="27"/>
        <v>0.16166368358057354</v>
      </c>
      <c r="AN53" s="259">
        <f t="shared" si="28"/>
        <v>1</v>
      </c>
      <c r="AO53" s="259">
        <f t="shared" si="29"/>
        <v>1</v>
      </c>
      <c r="AP53" s="259">
        <f t="shared" si="30"/>
        <v>1</v>
      </c>
    </row>
    <row r="54" spans="1:64">
      <c r="A54" s="257">
        <v>19</v>
      </c>
      <c r="B54" s="257">
        <v>9</v>
      </c>
      <c r="C54" s="257" t="s">
        <v>288</v>
      </c>
      <c r="D54" s="257">
        <v>1.4457</v>
      </c>
      <c r="E54" s="257">
        <v>1.18</v>
      </c>
      <c r="V54" s="221" t="str">
        <f t="shared" si="10"/>
        <v>CCL3</v>
      </c>
      <c r="W54" s="259">
        <f t="shared" si="11"/>
        <v>0.88418195758547224</v>
      </c>
      <c r="X54" s="259">
        <f t="shared" si="12"/>
        <v>0.88418195758547224</v>
      </c>
      <c r="Y54" s="259">
        <f t="shared" si="13"/>
        <v>0.88418195758547224</v>
      </c>
      <c r="Z54" s="259">
        <f t="shared" si="14"/>
        <v>0.46468628577461807</v>
      </c>
      <c r="AA54" s="259">
        <f t="shared" si="15"/>
        <v>0.46468628577461807</v>
      </c>
      <c r="AB54" s="259">
        <f t="shared" si="16"/>
        <v>0.79100914593525296</v>
      </c>
      <c r="AC54" s="259">
        <f t="shared" si="17"/>
        <v>0.79100914593525296</v>
      </c>
      <c r="AD54" s="259">
        <f t="shared" si="18"/>
        <v>8.2991623648455484E-2</v>
      </c>
      <c r="AE54" s="259">
        <f t="shared" si="19"/>
        <v>0.11337072616001936</v>
      </c>
      <c r="AF54" s="259">
        <f t="shared" si="20"/>
        <v>6.2468004070582152E-2</v>
      </c>
      <c r="AG54" s="259">
        <f t="shared" si="21"/>
        <v>1</v>
      </c>
      <c r="AH54" s="259">
        <f t="shared" si="22"/>
        <v>0.15696185364230247</v>
      </c>
      <c r="AI54" s="259">
        <f t="shared" si="23"/>
        <v>0.44292483751529815</v>
      </c>
      <c r="AJ54" s="259">
        <f t="shared" si="24"/>
        <v>0.55322864459141663</v>
      </c>
      <c r="AK54" s="259">
        <f t="shared" si="25"/>
        <v>1</v>
      </c>
      <c r="AL54" s="259">
        <f t="shared" si="26"/>
        <v>1</v>
      </c>
      <c r="AM54" s="259">
        <f t="shared" si="27"/>
        <v>0.1843175697768544</v>
      </c>
      <c r="AN54" s="259">
        <f t="shared" si="28"/>
        <v>1.3277888092433621</v>
      </c>
      <c r="AO54" s="259">
        <f t="shared" si="29"/>
        <v>1</v>
      </c>
      <c r="AP54" s="259">
        <f t="shared" si="30"/>
        <v>1</v>
      </c>
      <c r="AQ54" s="222"/>
      <c r="AR54" s="222"/>
      <c r="AS54" s="255"/>
      <c r="AT54" s="255"/>
      <c r="BK54" s="222"/>
      <c r="BL54" s="222"/>
    </row>
    <row r="55" spans="1:64">
      <c r="A55" s="257">
        <v>20</v>
      </c>
      <c r="B55" s="257">
        <v>10</v>
      </c>
      <c r="C55" s="257" t="s">
        <v>170</v>
      </c>
      <c r="D55" s="257">
        <v>0.998</v>
      </c>
      <c r="E55" s="257">
        <v>0.94799999999999995</v>
      </c>
      <c r="V55" s="221" t="str">
        <f t="shared" si="10"/>
        <v>CON(CH2)2</v>
      </c>
      <c r="W55" s="259">
        <f t="shared" si="11"/>
        <v>0.91045405745338392</v>
      </c>
      <c r="X55" s="259">
        <f t="shared" si="12"/>
        <v>0.91045405745338392</v>
      </c>
      <c r="Y55" s="259">
        <f t="shared" si="13"/>
        <v>0.91045405745338392</v>
      </c>
      <c r="Z55" s="259">
        <f t="shared" si="14"/>
        <v>1</v>
      </c>
      <c r="AA55" s="259">
        <f t="shared" si="15"/>
        <v>1</v>
      </c>
      <c r="AB55" s="259">
        <f t="shared" si="16"/>
        <v>1</v>
      </c>
      <c r="AC55" s="259">
        <f t="shared" si="17"/>
        <v>1</v>
      </c>
      <c r="AD55" s="259">
        <f t="shared" si="18"/>
        <v>0.26602481411309264</v>
      </c>
      <c r="AE55" s="259">
        <f t="shared" si="19"/>
        <v>1</v>
      </c>
      <c r="AF55" s="259">
        <f t="shared" si="20"/>
        <v>5.5190214453603126</v>
      </c>
      <c r="AG55" s="259">
        <f t="shared" si="21"/>
        <v>1</v>
      </c>
      <c r="AH55" s="259">
        <f t="shared" si="22"/>
        <v>1</v>
      </c>
      <c r="AI55" s="259">
        <f t="shared" si="23"/>
        <v>1</v>
      </c>
      <c r="AJ55" s="259">
        <f t="shared" si="24"/>
        <v>1</v>
      </c>
      <c r="AK55" s="259">
        <f t="shared" si="25"/>
        <v>1</v>
      </c>
      <c r="AL55" s="259">
        <f t="shared" si="26"/>
        <v>1</v>
      </c>
      <c r="AM55" s="259">
        <f t="shared" si="27"/>
        <v>1.2656928180842328</v>
      </c>
      <c r="AN55" s="259">
        <f t="shared" si="28"/>
        <v>1</v>
      </c>
      <c r="AO55" s="259">
        <f t="shared" si="29"/>
        <v>1</v>
      </c>
      <c r="AP55" s="259">
        <f t="shared" si="30"/>
        <v>1</v>
      </c>
      <c r="AQ55" s="222"/>
      <c r="AR55" s="222"/>
      <c r="AS55" s="255"/>
      <c r="AT55" s="255"/>
      <c r="BK55" s="222"/>
      <c r="BL55" s="222"/>
    </row>
    <row r="56" spans="1:64">
      <c r="A56" s="257">
        <v>21</v>
      </c>
      <c r="B56" s="257">
        <v>11</v>
      </c>
      <c r="C56" s="257" t="s">
        <v>171</v>
      </c>
      <c r="D56" s="257">
        <v>1.9031</v>
      </c>
      <c r="E56" s="257">
        <v>1.728</v>
      </c>
      <c r="V56" s="260"/>
      <c r="W56" s="260"/>
      <c r="AL56" s="260"/>
      <c r="AM56" s="260"/>
      <c r="AN56" s="260"/>
    </row>
    <row r="57" spans="1:64">
      <c r="A57" s="257">
        <v>22</v>
      </c>
      <c r="B57" s="257">
        <v>11</v>
      </c>
      <c r="C57" s="257" t="s">
        <v>289</v>
      </c>
      <c r="D57" s="257">
        <v>1.6763999999999999</v>
      </c>
      <c r="E57" s="257">
        <v>1.42</v>
      </c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</row>
    <row r="58" spans="1:64">
      <c r="A58" s="257">
        <v>29</v>
      </c>
      <c r="B58" s="257">
        <v>14</v>
      </c>
      <c r="C58" s="257" t="s">
        <v>290</v>
      </c>
      <c r="D58" s="257">
        <v>1.3692</v>
      </c>
      <c r="E58" s="257">
        <v>1.236</v>
      </c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</row>
    <row r="59" spans="1:64">
      <c r="A59" s="257">
        <v>36</v>
      </c>
      <c r="B59" s="257">
        <v>17</v>
      </c>
      <c r="C59" s="257" t="s">
        <v>172</v>
      </c>
      <c r="D59" s="257">
        <v>1.06</v>
      </c>
      <c r="E59" s="257">
        <v>0.81599999999999995</v>
      </c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</row>
    <row r="60" spans="1:64">
      <c r="A60" s="258">
        <v>42</v>
      </c>
      <c r="B60" s="257">
        <v>20</v>
      </c>
      <c r="C60" s="258" t="s">
        <v>173</v>
      </c>
      <c r="D60" s="258">
        <v>1.3012999999999999</v>
      </c>
      <c r="E60" s="258">
        <v>1.224</v>
      </c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</row>
    <row r="61" spans="1:64">
      <c r="A61" s="257">
        <v>49</v>
      </c>
      <c r="B61" s="258">
        <v>22</v>
      </c>
      <c r="C61" s="257" t="s">
        <v>291</v>
      </c>
      <c r="D61" s="257">
        <v>1.8016000000000001</v>
      </c>
      <c r="E61" s="257">
        <v>1.448</v>
      </c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</row>
    <row r="62" spans="1:64">
      <c r="A62" s="257">
        <v>51</v>
      </c>
      <c r="B62" s="257">
        <v>23</v>
      </c>
      <c r="C62" s="257" t="s">
        <v>174</v>
      </c>
      <c r="D62" s="257">
        <v>2.6400999999999999</v>
      </c>
      <c r="E62" s="257">
        <v>2.1840000000000002</v>
      </c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</row>
    <row r="63" spans="1:64">
      <c r="A63" s="257">
        <v>99</v>
      </c>
      <c r="B63" s="257">
        <v>46</v>
      </c>
      <c r="C63" s="257" t="s">
        <v>292</v>
      </c>
      <c r="D63" s="257">
        <v>2.4054000000000002</v>
      </c>
      <c r="E63" s="257">
        <v>1.8120000000000001</v>
      </c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</row>
    <row r="64" spans="1:64"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</row>
    <row r="65" spans="21:40"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</row>
    <row r="66" spans="21:40"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</row>
    <row r="67" spans="21:40"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</row>
    <row r="68" spans="21:40">
      <c r="U68" s="233"/>
      <c r="V68" s="233"/>
      <c r="W68" s="233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33"/>
      <c r="AM68" s="233"/>
      <c r="AN68" s="233"/>
    </row>
    <row r="69" spans="21:40"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</row>
    <row r="71" spans="21:40"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AW51"/>
  <sheetViews>
    <sheetView showGridLines="0" topLeftCell="A5" zoomScale="150" zoomScaleNormal="150" zoomScalePageLayoutView="150" workbookViewId="0">
      <selection activeCell="C25" sqref="C25"/>
    </sheetView>
  </sheetViews>
  <sheetFormatPr baseColWidth="10" defaultColWidth="9.1640625" defaultRowHeight="16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9.332031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7">
      <c r="A1" s="144" t="s">
        <v>302</v>
      </c>
      <c r="B1" s="144"/>
      <c r="C1" s="144"/>
    </row>
    <row r="2" spans="1:47">
      <c r="A2" s="144" t="s">
        <v>106</v>
      </c>
      <c r="B2" s="144"/>
      <c r="C2" s="144"/>
    </row>
    <row r="3" spans="1:47">
      <c r="A3" s="144" t="s">
        <v>107</v>
      </c>
      <c r="B3" s="144"/>
      <c r="C3" s="144"/>
    </row>
    <row r="4" spans="1:47">
      <c r="A4" s="144" t="s">
        <v>303</v>
      </c>
      <c r="B4" s="144"/>
      <c r="C4" s="144"/>
    </row>
    <row r="5" spans="1:47">
      <c r="A5" s="144" t="s">
        <v>108</v>
      </c>
      <c r="B5" s="144"/>
      <c r="C5" s="144"/>
    </row>
    <row r="6" spans="1:47">
      <c r="A6" s="144" t="s">
        <v>109</v>
      </c>
      <c r="B6" s="144"/>
      <c r="C6" s="144"/>
    </row>
    <row r="7" spans="1:47">
      <c r="A7" s="144" t="s">
        <v>110</v>
      </c>
      <c r="B7" s="144"/>
      <c r="C7" s="144"/>
    </row>
    <row r="8" spans="1:47">
      <c r="A8" s="144"/>
      <c r="B8" s="144"/>
      <c r="C8" s="144"/>
    </row>
    <row r="9" spans="1:47" s="33" customFormat="1">
      <c r="A9" s="144"/>
      <c r="B9" s="144"/>
      <c r="C9" s="144"/>
      <c r="D9" s="46" t="s">
        <v>111</v>
      </c>
      <c r="E9" s="47" t="s">
        <v>112</v>
      </c>
      <c r="F9" s="47"/>
      <c r="G9" s="49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AD9" s="34"/>
      <c r="AI9" s="34"/>
      <c r="AN9"/>
      <c r="AS9" s="52"/>
    </row>
    <row r="10" spans="1:47">
      <c r="A10" s="144" t="s">
        <v>113</v>
      </c>
      <c r="B10" s="144">
        <f t="array" ref="B10">SUM(B22:F22*B23:F23*B17:F17)</f>
        <v>0.94704451963834957</v>
      </c>
      <c r="C10" s="144" t="s">
        <v>114</v>
      </c>
      <c r="D10" s="48" t="s">
        <v>115</v>
      </c>
      <c r="E10" s="49"/>
      <c r="F10" s="49"/>
      <c r="G10" s="49"/>
      <c r="X10" s="35"/>
      <c r="AN10"/>
      <c r="AS10" s="188" t="s">
        <v>116</v>
      </c>
    </row>
    <row r="11" spans="1:47">
      <c r="A11" s="144" t="s">
        <v>176</v>
      </c>
      <c r="B11" s="145">
        <v>20</v>
      </c>
      <c r="C11" s="146" t="s">
        <v>117</v>
      </c>
      <c r="D11" s="50" t="s">
        <v>118</v>
      </c>
      <c r="E11" s="51"/>
      <c r="F11" s="51"/>
      <c r="G11" s="4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7"/>
      <c r="AD11" s="37"/>
      <c r="AI11" s="37"/>
      <c r="AN11"/>
      <c r="AS11" s="189"/>
    </row>
    <row r="12" spans="1:47" s="33" customFormat="1">
      <c r="A12" s="144" t="s">
        <v>119</v>
      </c>
      <c r="B12" s="144"/>
      <c r="C12" s="144"/>
      <c r="D12" s="32"/>
      <c r="E12" s="32"/>
      <c r="F12" s="32"/>
      <c r="G12" s="3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AD12" s="34"/>
      <c r="AI12" s="34"/>
      <c r="AS12" s="5"/>
    </row>
    <row r="13" spans="1:47" s="72" customFormat="1" ht="11">
      <c r="B13" s="36" t="s">
        <v>120</v>
      </c>
      <c r="C13" s="36" t="s">
        <v>121</v>
      </c>
      <c r="D13" s="36" t="s">
        <v>122</v>
      </c>
      <c r="E13" s="36" t="s">
        <v>123</v>
      </c>
      <c r="F13" s="36" t="s">
        <v>124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AS13" s="35"/>
      <c r="AT13" s="72" t="s">
        <v>246</v>
      </c>
    </row>
    <row r="14" spans="1:47" s="72" customFormat="1" ht="11">
      <c r="A14" s="35" t="s">
        <v>125</v>
      </c>
      <c r="B14" s="57">
        <v>6.47682</v>
      </c>
      <c r="C14" s="57">
        <v>0</v>
      </c>
      <c r="D14" s="57">
        <v>8.0713100000000004</v>
      </c>
      <c r="E14" s="57"/>
      <c r="F14" s="73"/>
      <c r="G14" s="7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72" t="s">
        <v>247</v>
      </c>
    </row>
    <row r="15" spans="1:47" s="72" customFormat="1" ht="11">
      <c r="A15" s="35" t="s">
        <v>126</v>
      </c>
      <c r="B15" s="57">
        <v>2603.3589999999999</v>
      </c>
      <c r="C15" s="57">
        <v>0</v>
      </c>
      <c r="D15" s="57">
        <v>1730.63</v>
      </c>
      <c r="E15" s="57"/>
      <c r="F15" s="57"/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 t="s">
        <v>245</v>
      </c>
    </row>
    <row r="16" spans="1:47" s="72" customFormat="1" ht="11">
      <c r="A16" s="35" t="s">
        <v>127</v>
      </c>
      <c r="B16" s="57">
        <v>321.94900000000001</v>
      </c>
      <c r="C16" s="57">
        <v>0</v>
      </c>
      <c r="D16" s="57">
        <v>233.42599999999999</v>
      </c>
      <c r="E16" s="57"/>
      <c r="F16" s="57"/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  <c r="AS16" s="35"/>
      <c r="AT16" s="35" t="s">
        <v>244</v>
      </c>
    </row>
    <row r="17" spans="1:49" s="35" customFormat="1" ht="13">
      <c r="A17" s="35" t="s">
        <v>128</v>
      </c>
      <c r="B17" s="57">
        <f>10^(B14-B15/(B16+TC.))</f>
        <v>7.303379450423074E-2</v>
      </c>
      <c r="C17" s="57">
        <f>10^(C14-C15/(C16+TC.))</f>
        <v>1</v>
      </c>
      <c r="D17" s="57">
        <f>10^(D14-D15/(D16+TC.))</f>
        <v>17.47325208459706</v>
      </c>
      <c r="E17" s="57">
        <f>10^(E14-E15/(E16+TC.))</f>
        <v>1</v>
      </c>
      <c r="F17" s="57">
        <f>10^(F14-F15/(F16+TC.))</f>
        <v>1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9" s="35" customFormat="1" ht="11">
      <c r="A18" s="35" t="s">
        <v>129</v>
      </c>
      <c r="B18" s="191">
        <f>B22*B23*B17/$B$10</f>
        <v>1.9041697682979402E-2</v>
      </c>
      <c r="C18" s="191">
        <f>C22*C23*C17/$B$10</f>
        <v>0.98095830231702064</v>
      </c>
      <c r="D18" s="191">
        <f>D22*D23*D17/$B$10</f>
        <v>2.2188196900870121E-19</v>
      </c>
      <c r="E18" s="191">
        <f>E22*E23*E17/$B$10</f>
        <v>2.7734316556717937E-20</v>
      </c>
      <c r="F18" s="191">
        <f>F22*F23*F17/$B$10</f>
        <v>2.4902953167111811E-20</v>
      </c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  <c r="AT18" s="82" t="s">
        <v>236</v>
      </c>
    </row>
    <row r="19" spans="1:49" s="35" customFormat="1" ht="11">
      <c r="B19" s="76"/>
      <c r="C19" s="76"/>
      <c r="D19" s="75"/>
      <c r="E19" s="75"/>
      <c r="F19" s="75"/>
      <c r="G19" s="7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AD19" s="36"/>
      <c r="AI19" s="36"/>
    </row>
    <row r="20" spans="1:49" s="35" customFormat="1" ht="11">
      <c r="B20" s="36">
        <v>1</v>
      </c>
      <c r="C20" s="36">
        <v>2</v>
      </c>
      <c r="D20" s="36">
        <v>3</v>
      </c>
      <c r="E20" s="36" t="s">
        <v>123</v>
      </c>
      <c r="F20" s="36" t="s">
        <v>124</v>
      </c>
      <c r="G20" s="36"/>
      <c r="H20" s="36"/>
      <c r="I20" s="77"/>
      <c r="J20" s="77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AT20" s="35" t="s">
        <v>65</v>
      </c>
    </row>
    <row r="21" spans="1:49" s="72" customFormat="1" ht="13">
      <c r="A21" s="35"/>
      <c r="B21" s="53" t="s">
        <v>346</v>
      </c>
      <c r="C21" s="53" t="s">
        <v>347</v>
      </c>
      <c r="D21" s="53" t="s">
        <v>348</v>
      </c>
      <c r="E21" s="54" t="s">
        <v>349</v>
      </c>
      <c r="F21" s="53" t="s">
        <v>350</v>
      </c>
      <c r="G21" s="7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137"/>
      <c r="AT21" s="35" t="s">
        <v>67</v>
      </c>
    </row>
    <row r="22" spans="1:49" s="72" customFormat="1" ht="15">
      <c r="A22" s="72" t="s">
        <v>83</v>
      </c>
      <c r="B22" s="55">
        <v>7.7200000000000005E-2</v>
      </c>
      <c r="C22" s="55">
        <v>0.92300000000000004</v>
      </c>
      <c r="D22" s="55">
        <v>9.9999999999999995E-21</v>
      </c>
      <c r="E22" s="55">
        <v>9.9999999999999995E-21</v>
      </c>
      <c r="F22" s="55">
        <v>9.9999999999999995E-21</v>
      </c>
      <c r="G22" s="79"/>
      <c r="H22" s="36"/>
      <c r="I22"/>
      <c r="J22"/>
      <c r="K22" s="36" t="s">
        <v>132</v>
      </c>
      <c r="L22" s="36"/>
      <c r="M22"/>
      <c r="N22"/>
      <c r="O22"/>
      <c r="P22"/>
      <c r="Q22" s="80" t="s">
        <v>133</v>
      </c>
      <c r="R22" s="36"/>
      <c r="S22" s="36"/>
      <c r="T22" s="36"/>
      <c r="U22"/>
      <c r="V22" s="35"/>
      <c r="W22" s="81" t="s">
        <v>134</v>
      </c>
      <c r="X22" s="36"/>
      <c r="Y22" s="35"/>
      <c r="Z22" s="35"/>
      <c r="AA22"/>
      <c r="AB22" s="36"/>
      <c r="AC22" s="81" t="s">
        <v>135</v>
      </c>
      <c r="AD22" s="35"/>
      <c r="AE22" s="35"/>
      <c r="AF22" s="35"/>
      <c r="AG22" s="36"/>
      <c r="AH22" s="36"/>
      <c r="AI22" s="81" t="s">
        <v>136</v>
      </c>
      <c r="AJ22" s="35"/>
      <c r="AK22" s="35"/>
      <c r="AM22"/>
      <c r="AO22" s="72" t="s">
        <v>137</v>
      </c>
      <c r="AS22" s="35"/>
      <c r="AT22" s="35" t="s">
        <v>68</v>
      </c>
    </row>
    <row r="23" spans="1:49" s="72" customFormat="1" ht="13">
      <c r="A23" s="82" t="s">
        <v>138</v>
      </c>
      <c r="B23" s="56">
        <f>EXP(B51-B50+B49)</f>
        <v>3.1984156034032982</v>
      </c>
      <c r="C23" s="56">
        <f>EXP(C51-C50+C49)</f>
        <v>1.0065126589415749</v>
      </c>
      <c r="D23" s="56">
        <f>EXP(D51-D50+D49)</f>
        <v>1.2025929789079806</v>
      </c>
      <c r="E23" s="56">
        <f>EXP(E51-E50+E49)</f>
        <v>2.6265632500954865</v>
      </c>
      <c r="F23" s="56">
        <f>EXP(F51-F50+F49)</f>
        <v>2.3584205319723721</v>
      </c>
      <c r="G23" s="82" t="s">
        <v>139</v>
      </c>
      <c r="H23" s="36"/>
      <c r="I23" s="77">
        <v>1</v>
      </c>
      <c r="J23" s="77">
        <v>2</v>
      </c>
      <c r="K23" s="77">
        <v>3</v>
      </c>
      <c r="L23" s="36">
        <v>4</v>
      </c>
      <c r="M23" s="77">
        <v>5</v>
      </c>
      <c r="N23" s="77" t="s">
        <v>140</v>
      </c>
      <c r="O23" s="77">
        <v>1</v>
      </c>
      <c r="P23" s="77">
        <v>2</v>
      </c>
      <c r="Q23" s="77">
        <v>3</v>
      </c>
      <c r="R23" s="36">
        <v>4</v>
      </c>
      <c r="S23" s="77">
        <v>5</v>
      </c>
      <c r="T23" s="77" t="s">
        <v>140</v>
      </c>
      <c r="U23" s="77">
        <v>1</v>
      </c>
      <c r="V23" s="77">
        <v>2</v>
      </c>
      <c r="W23" s="77">
        <v>3</v>
      </c>
      <c r="X23" s="36">
        <v>4</v>
      </c>
      <c r="Y23" s="77">
        <v>5</v>
      </c>
      <c r="Z23" s="77" t="s">
        <v>140</v>
      </c>
      <c r="AA23" s="77">
        <v>1</v>
      </c>
      <c r="AB23" s="77">
        <v>2</v>
      </c>
      <c r="AC23" s="77">
        <v>3</v>
      </c>
      <c r="AD23" s="36">
        <v>4</v>
      </c>
      <c r="AE23" s="77">
        <v>5</v>
      </c>
      <c r="AF23" s="77" t="s">
        <v>140</v>
      </c>
      <c r="AG23" s="77">
        <v>1</v>
      </c>
      <c r="AH23" s="77">
        <v>2</v>
      </c>
      <c r="AI23" s="77">
        <v>3</v>
      </c>
      <c r="AJ23" s="36">
        <v>4</v>
      </c>
      <c r="AK23" s="77">
        <v>5</v>
      </c>
      <c r="AL23" s="77" t="s">
        <v>140</v>
      </c>
      <c r="AM23" s="77">
        <v>1</v>
      </c>
      <c r="AN23" s="77">
        <v>2</v>
      </c>
      <c r="AO23" s="77">
        <v>3</v>
      </c>
      <c r="AP23" s="36">
        <v>4</v>
      </c>
      <c r="AQ23" s="77">
        <v>5</v>
      </c>
      <c r="AR23" s="77" t="s">
        <v>140</v>
      </c>
      <c r="AS23" s="35"/>
      <c r="AT23" s="142"/>
      <c r="AU23" s="72">
        <v>1</v>
      </c>
      <c r="AV23" s="72">
        <v>2</v>
      </c>
      <c r="AW23" s="72">
        <v>3</v>
      </c>
    </row>
    <row r="24" spans="1:49" s="72" customFormat="1" ht="11">
      <c r="A24" s="35" t="str">
        <f>'aij-UNIFAC (LLE)'!B10</f>
        <v>CH3</v>
      </c>
      <c r="B24" s="57"/>
      <c r="C24" s="57">
        <v>1</v>
      </c>
      <c r="D24" s="57"/>
      <c r="E24" s="57">
        <v>1</v>
      </c>
      <c r="F24" s="57">
        <v>1</v>
      </c>
      <c r="G24" s="83">
        <f t="array" ref="G24">SUM(B24:F24*$B$22:$F$22)</f>
        <v>0.92300000000000004</v>
      </c>
      <c r="H24" s="36" t="str">
        <f t="shared" ref="H24:H41" si="0">A24</f>
        <v>CH3</v>
      </c>
      <c r="I24" s="84">
        <f t="shared" ref="I24:M35" si="1">B24/B$43</f>
        <v>0</v>
      </c>
      <c r="J24" s="85">
        <f t="shared" si="1"/>
        <v>0.5</v>
      </c>
      <c r="K24" s="85">
        <f t="shared" si="1"/>
        <v>0</v>
      </c>
      <c r="L24" s="85">
        <f t="shared" si="1"/>
        <v>0.33333333333333331</v>
      </c>
      <c r="M24" s="85">
        <f t="shared" si="1"/>
        <v>0.5</v>
      </c>
      <c r="N24" s="86">
        <f t="shared" ref="N24:N35" si="2">G24/$G$42</f>
        <v>0.35255920550038194</v>
      </c>
      <c r="O24" s="84">
        <f>I24*'aij-UNIFAC (LLE)'!$D10/I$42</f>
        <v>0</v>
      </c>
      <c r="P24" s="85">
        <f>J24*'aij-UNIFAC (LLE)'!$D10/J$42</f>
        <v>0.36301369863013699</v>
      </c>
      <c r="Q24" s="85">
        <f>K24*'aij-UNIFAC (LLE)'!$D10/K$42</f>
        <v>0</v>
      </c>
      <c r="R24" s="85">
        <f>L24*'aij-UNIFAC (LLE)'!$D10/L$42</f>
        <v>0.32766615146831529</v>
      </c>
      <c r="S24" s="85">
        <f>M24*'aij-UNIFAC (LLE)'!$D10/M$42</f>
        <v>0.40926640926640923</v>
      </c>
      <c r="T24" s="87">
        <f>N24*'aij-UNIFAC (LLE)'!$D10/N$42</f>
        <v>0.31753625258019708</v>
      </c>
      <c r="U24" s="84">
        <f t="array" ref="U24:Z41">MMULT(TRANSPOSE(tauL),O24:T41)</f>
        <v>0.58633945198681447</v>
      </c>
      <c r="V24" s="88">
        <v>0.8706154330028707</v>
      </c>
      <c r="W24" s="85">
        <v>0.93674360062634787</v>
      </c>
      <c r="X24" s="85">
        <v>0.68767648751582533</v>
      </c>
      <c r="Y24" s="88">
        <v>0.41080704070929341</v>
      </c>
      <c r="Z24" s="89">
        <v>0.83500205081168377</v>
      </c>
      <c r="AA24" s="90">
        <f t="shared" ref="AA24:AF39" si="3">O24/U24</f>
        <v>0</v>
      </c>
      <c r="AB24" s="91">
        <f t="shared" si="3"/>
        <v>0.41696216821938653</v>
      </c>
      <c r="AC24" s="91">
        <f t="shared" si="3"/>
        <v>0</v>
      </c>
      <c r="AD24" s="91">
        <f t="shared" si="3"/>
        <v>0.47648299369952618</v>
      </c>
      <c r="AE24" s="91">
        <f t="shared" si="3"/>
        <v>0.99624974430763369</v>
      </c>
      <c r="AF24" s="86">
        <f t="shared" si="3"/>
        <v>0.38028200322565475</v>
      </c>
      <c r="AG24" s="84">
        <f t="array" ref="AG24:AL41">MMULT(tauL,AA24:AF41)</f>
        <v>1.4793582688401357</v>
      </c>
      <c r="AH24" s="85">
        <v>0.59606319205288061</v>
      </c>
      <c r="AI24" s="88">
        <v>0.98562375743592667</v>
      </c>
      <c r="AJ24" s="88">
        <v>0.87821742922601154</v>
      </c>
      <c r="AK24" s="88">
        <v>1.4307172242399315</v>
      </c>
      <c r="AL24" s="89">
        <v>0.69483644605276629</v>
      </c>
      <c r="AM24" s="92">
        <f>'aij-UNIFAC (LLE)'!$D10*(1-LN(U24)-AG24)</f>
        <v>4.6214404636220729E-2</v>
      </c>
      <c r="AN24" s="93">
        <f>'aij-UNIFAC (LLE)'!$D10*(1-LN(V24)-AH24)</f>
        <v>0.46003298798114295</v>
      </c>
      <c r="AO24" s="93">
        <f>'aij-UNIFAC (LLE)'!$D10*(1-LN(W24)-AI24)</f>
        <v>6.76041842248402E-2</v>
      </c>
      <c r="AP24" s="93">
        <f>'aij-UNIFAC (LLE)'!$D10*(1-LN(X24)-AJ24)</f>
        <v>0.4207940037506841</v>
      </c>
      <c r="AQ24" s="93">
        <f>'aij-UNIFAC (LLE)'!$D10*(1-LN(Y24)-AK24)</f>
        <v>0.38915944326709634</v>
      </c>
      <c r="AR24" s="94">
        <f>'aij-UNIFAC (LLE)'!$D10*(1-LN(Z24)-AL24)</f>
        <v>0.41169098491265027</v>
      </c>
      <c r="AS24" s="35"/>
      <c r="AT24" s="137" t="s">
        <v>230</v>
      </c>
      <c r="AU24" s="198"/>
      <c r="AV24" s="199"/>
      <c r="AW24" s="198"/>
    </row>
    <row r="25" spans="1:49" s="72" customFormat="1" ht="11">
      <c r="A25" s="35" t="str">
        <f>'aij-UNIFAC (LLE)'!B11</f>
        <v>CH2</v>
      </c>
      <c r="B25" s="57"/>
      <c r="C25" s="57"/>
      <c r="D25" s="57"/>
      <c r="E25" s="57">
        <v>1</v>
      </c>
      <c r="F25" s="57"/>
      <c r="G25" s="83">
        <f t="array" ref="G25">SUM(B25:F25*$B$22:$F$22)</f>
        <v>9.9999999999999995E-21</v>
      </c>
      <c r="H25" s="36" t="str">
        <f t="shared" si="0"/>
        <v>CH2</v>
      </c>
      <c r="I25" s="95">
        <f t="shared" si="1"/>
        <v>0</v>
      </c>
      <c r="J25" s="96">
        <f t="shared" si="1"/>
        <v>0</v>
      </c>
      <c r="K25" s="96">
        <f t="shared" si="1"/>
        <v>0</v>
      </c>
      <c r="L25" s="96">
        <f t="shared" si="1"/>
        <v>0.33333333333333331</v>
      </c>
      <c r="M25" s="96">
        <f t="shared" si="1"/>
        <v>0</v>
      </c>
      <c r="N25" s="97">
        <f t="shared" si="2"/>
        <v>3.8197097020626422E-21</v>
      </c>
      <c r="O25" s="95">
        <f>I25*'aij-UNIFAC (LLE)'!$D11/I$42</f>
        <v>0</v>
      </c>
      <c r="P25" s="96">
        <f>J25*'aij-UNIFAC (LLE)'!$D11/J$42</f>
        <v>0</v>
      </c>
      <c r="Q25" s="96">
        <f>K25*'aij-UNIFAC (LLE)'!$D11/K$42</f>
        <v>0</v>
      </c>
      <c r="R25" s="96">
        <f>L25*'aij-UNIFAC (LLE)'!$D11/L$42</f>
        <v>0.20865533230293665</v>
      </c>
      <c r="S25" s="96">
        <f>M25*'aij-UNIFAC (LLE)'!$D11/M$42</f>
        <v>0</v>
      </c>
      <c r="T25" s="98">
        <f>N25*'aij-UNIFAC (LLE)'!$D11/N$42</f>
        <v>2.1907333601630551E-21</v>
      </c>
      <c r="U25" s="95">
        <v>0.58633945198681447</v>
      </c>
      <c r="V25" s="99">
        <v>0.8706154330028707</v>
      </c>
      <c r="W25" s="96">
        <v>0.93674360062634787</v>
      </c>
      <c r="X25" s="96">
        <v>0.68767648751582533</v>
      </c>
      <c r="Y25" s="99">
        <v>0.41080704070929341</v>
      </c>
      <c r="Z25" s="100">
        <v>0.83500205081168377</v>
      </c>
      <c r="AA25" s="101">
        <f t="shared" si="3"/>
        <v>0</v>
      </c>
      <c r="AB25" s="102">
        <f t="shared" si="3"/>
        <v>0</v>
      </c>
      <c r="AC25" s="102">
        <f t="shared" si="3"/>
        <v>0</v>
      </c>
      <c r="AD25" s="102">
        <f t="shared" si="3"/>
        <v>0.30342077428979264</v>
      </c>
      <c r="AE25" s="102">
        <f t="shared" si="3"/>
        <v>0</v>
      </c>
      <c r="AF25" s="97">
        <f t="shared" si="3"/>
        <v>2.6236263228736986E-21</v>
      </c>
      <c r="AG25" s="95">
        <v>1.4793582688401357</v>
      </c>
      <c r="AH25" s="96">
        <v>0.59606319205288061</v>
      </c>
      <c r="AI25" s="99">
        <v>0.98562375743592667</v>
      </c>
      <c r="AJ25" s="99">
        <v>0.87821742922601154</v>
      </c>
      <c r="AK25" s="99">
        <v>1.4307172242399315</v>
      </c>
      <c r="AL25" s="100">
        <v>0.69483644605276629</v>
      </c>
      <c r="AM25" s="103">
        <f>'aij-UNIFAC (LLE)'!$D11*(1-LN(U25)-AG25)</f>
        <v>2.9428984084385844E-2</v>
      </c>
      <c r="AN25" s="104">
        <f>'aij-UNIFAC (LLE)'!$D11*(1-LN(V25)-AH25)</f>
        <v>0.29294553479931273</v>
      </c>
      <c r="AO25" s="104">
        <f>'aij-UNIFAC (LLE)'!$D11*(1-LN(W25)-AI25)</f>
        <v>4.3049834294119939E-2</v>
      </c>
      <c r="AP25" s="104">
        <f>'aij-UNIFAC (LLE)'!$D11*(1-LN(X25)-AJ25)</f>
        <v>0.26795844578463379</v>
      </c>
      <c r="AQ25" s="104">
        <f>'aij-UNIFAC (LLE)'!$D11*(1-LN(Y25)-AK25)</f>
        <v>0.24781379642008494</v>
      </c>
      <c r="AR25" s="105">
        <f>'aij-UNIFAC (LLE)'!$D11*(1-LN(Z25)-AL25)</f>
        <v>0.26216171209060279</v>
      </c>
      <c r="AS25" s="35"/>
      <c r="AT25" s="137" t="s">
        <v>231</v>
      </c>
      <c r="AU25" s="198"/>
      <c r="AV25" s="198"/>
      <c r="AW25" s="198"/>
    </row>
    <row r="26" spans="1:49" s="72" customFormat="1" ht="12">
      <c r="A26" s="35" t="str">
        <f>'aij-UNIFAC (LLE)'!B12</f>
        <v>CH</v>
      </c>
      <c r="B26" s="57"/>
      <c r="C26" s="57"/>
      <c r="D26" s="57">
        <v>1</v>
      </c>
      <c r="E26" s="57"/>
      <c r="F26" s="57"/>
      <c r="G26" s="83">
        <f t="array" ref="G26">SUM(B26:F26*$B$22:$F$22)</f>
        <v>9.9999999999999995E-21</v>
      </c>
      <c r="H26" s="36" t="str">
        <f t="shared" si="0"/>
        <v>CH</v>
      </c>
      <c r="I26" s="95">
        <f t="shared" si="1"/>
        <v>0</v>
      </c>
      <c r="J26" s="96">
        <f t="shared" si="1"/>
        <v>0</v>
      </c>
      <c r="K26" s="96">
        <f t="shared" si="1"/>
        <v>0.5</v>
      </c>
      <c r="L26" s="96">
        <f t="shared" si="1"/>
        <v>0</v>
      </c>
      <c r="M26" s="96">
        <f t="shared" si="1"/>
        <v>0</v>
      </c>
      <c r="N26" s="97">
        <f t="shared" si="2"/>
        <v>3.8197097020626422E-21</v>
      </c>
      <c r="O26" s="95">
        <f>I26*'aij-UNIFAC (LLE)'!$D12/I$42</f>
        <v>0</v>
      </c>
      <c r="P26" s="96">
        <f>J26*'aij-UNIFAC (LLE)'!$D12/J$42</f>
        <v>0</v>
      </c>
      <c r="Q26" s="96">
        <f>K26*'aij-UNIFAC (LLE)'!$D12/K$42</f>
        <v>9.4527363184079588E-2</v>
      </c>
      <c r="R26" s="96">
        <f>L26*'aij-UNIFAC (LLE)'!$D12/L$42</f>
        <v>0</v>
      </c>
      <c r="S26" s="96">
        <f>M26*'aij-UNIFAC (LLE)'!$D12/M$42</f>
        <v>0</v>
      </c>
      <c r="T26" s="98">
        <f>N26*'aij-UNIFAC (LLE)'!$D12/N$42</f>
        <v>9.2497630762440112E-22</v>
      </c>
      <c r="U26" s="95">
        <v>0.58633945198681447</v>
      </c>
      <c r="V26" s="99">
        <v>0.8706154330028707</v>
      </c>
      <c r="W26" s="99">
        <v>0.93674360062634787</v>
      </c>
      <c r="X26" s="99">
        <v>0.68767648751582533</v>
      </c>
      <c r="Y26" s="99">
        <v>0.41080704070929341</v>
      </c>
      <c r="Z26" s="100">
        <v>0.83500205081168377</v>
      </c>
      <c r="AA26" s="101">
        <f t="shared" si="3"/>
        <v>0</v>
      </c>
      <c r="AB26" s="102">
        <f t="shared" si="3"/>
        <v>0</v>
      </c>
      <c r="AC26" s="102">
        <f t="shared" si="3"/>
        <v>0.10091060469575074</v>
      </c>
      <c r="AD26" s="102">
        <f t="shared" si="3"/>
        <v>0</v>
      </c>
      <c r="AE26" s="102">
        <f t="shared" si="3"/>
        <v>0</v>
      </c>
      <c r="AF26" s="97">
        <f t="shared" si="3"/>
        <v>1.1077533363244505E-21</v>
      </c>
      <c r="AG26" s="106">
        <v>1.4793582688401357</v>
      </c>
      <c r="AH26" s="99">
        <v>0.59606319205288061</v>
      </c>
      <c r="AI26" s="99">
        <v>0.98562375743592667</v>
      </c>
      <c r="AJ26" s="99">
        <v>0.87821742922601154</v>
      </c>
      <c r="AK26" s="99">
        <v>1.4307172242399315</v>
      </c>
      <c r="AL26" s="100">
        <v>0.69483644605276629</v>
      </c>
      <c r="AM26" s="103">
        <f>'aij-UNIFAC (LLE)'!$D12*(1-LN(U26)-AG26)</f>
        <v>1.2425571057851801E-2</v>
      </c>
      <c r="AN26" s="104">
        <f>'aij-UNIFAC (LLE)'!$D12*(1-LN(V26)-AH26)</f>
        <v>0.12368811469304315</v>
      </c>
      <c r="AO26" s="104">
        <f>'aij-UNIFAC (LLE)'!$D12*(1-LN(W26)-AI26)</f>
        <v>1.8176596701961752E-2</v>
      </c>
      <c r="AP26" s="104">
        <f>'aij-UNIFAC (LLE)'!$D12*(1-LN(X26)-AJ26)</f>
        <v>0.11313801044240092</v>
      </c>
      <c r="AQ26" s="104">
        <f>'aij-UNIFAC (LLE)'!$D12*(1-LN(Y26)-AK26)</f>
        <v>0.10463249182181364</v>
      </c>
      <c r="AR26" s="105">
        <f>'aij-UNIFAC (LLE)'!$D12*(1-LN(Z26)-AL26)</f>
        <v>0.11069050066047673</v>
      </c>
      <c r="AS26" s="35"/>
      <c r="AT26" s="190" t="s">
        <v>232</v>
      </c>
      <c r="AU26" s="198"/>
      <c r="AV26" s="198"/>
      <c r="AW26" s="198"/>
    </row>
    <row r="27" spans="1:49" s="72" customFormat="1" ht="12">
      <c r="A27" s="35" t="str">
        <f>'aij-UNIFAC (LLE)'!B13</f>
        <v>ACH</v>
      </c>
      <c r="B27" s="57">
        <v>10</v>
      </c>
      <c r="C27" s="57"/>
      <c r="D27" s="57"/>
      <c r="E27" s="57"/>
      <c r="F27" s="57"/>
      <c r="G27" s="83">
        <f t="array" ref="G27">SUM(B27:F27*$B$22:$F$22)</f>
        <v>0.77200000000000002</v>
      </c>
      <c r="H27" s="36" t="str">
        <f t="shared" si="0"/>
        <v>ACH</v>
      </c>
      <c r="I27" s="95">
        <f t="shared" si="1"/>
        <v>1</v>
      </c>
      <c r="J27" s="96">
        <f t="shared" si="1"/>
        <v>0</v>
      </c>
      <c r="K27" s="96">
        <f t="shared" si="1"/>
        <v>0</v>
      </c>
      <c r="L27" s="96">
        <f t="shared" si="1"/>
        <v>0</v>
      </c>
      <c r="M27" s="96">
        <f t="shared" si="1"/>
        <v>0</v>
      </c>
      <c r="N27" s="97">
        <f t="shared" si="2"/>
        <v>0.29488158899923606</v>
      </c>
      <c r="O27" s="95">
        <f>I27*'aij-UNIFAC (LLE)'!$D13/I$42</f>
        <v>1</v>
      </c>
      <c r="P27" s="96">
        <f>J27*'aij-UNIFAC (LLE)'!$D13/J$42</f>
        <v>0</v>
      </c>
      <c r="Q27" s="96">
        <f>K27*'aij-UNIFAC (LLE)'!$D13/K$42</f>
        <v>0</v>
      </c>
      <c r="R27" s="96">
        <f>L27*'aij-UNIFAC (LLE)'!$D13/L$42</f>
        <v>0</v>
      </c>
      <c r="S27" s="96">
        <f>M27*'aij-UNIFAC (LLE)'!$D13/M$42</f>
        <v>0</v>
      </c>
      <c r="T27" s="98">
        <f>N27*'aij-UNIFAC (LLE)'!$D13/N$42</f>
        <v>0.12527749289228735</v>
      </c>
      <c r="U27" s="95">
        <v>1</v>
      </c>
      <c r="V27" s="96">
        <v>1.369067733598996</v>
      </c>
      <c r="W27" s="96">
        <v>0.47827050249342951</v>
      </c>
      <c r="X27" s="99">
        <v>1.2718889468510017</v>
      </c>
      <c r="Y27" s="99">
        <v>1.0620718225214429</v>
      </c>
      <c r="Z27" s="100">
        <v>1.3228318532262753</v>
      </c>
      <c r="AA27" s="101">
        <f t="shared" si="3"/>
        <v>1</v>
      </c>
      <c r="AB27" s="102">
        <f t="shared" si="3"/>
        <v>0</v>
      </c>
      <c r="AC27" s="102">
        <f t="shared" si="3"/>
        <v>0</v>
      </c>
      <c r="AD27" s="102">
        <f t="shared" si="3"/>
        <v>0</v>
      </c>
      <c r="AE27" s="102">
        <f t="shared" si="3"/>
        <v>0</v>
      </c>
      <c r="AF27" s="97">
        <f t="shared" si="3"/>
        <v>9.4704018947492169E-2</v>
      </c>
      <c r="AG27" s="95">
        <v>1</v>
      </c>
      <c r="AH27" s="99">
        <v>0.36297401876697194</v>
      </c>
      <c r="AI27" s="99">
        <v>2.0611844438098537</v>
      </c>
      <c r="AJ27" s="99">
        <v>0.53759700891811291</v>
      </c>
      <c r="AK27" s="99">
        <v>0.72879426043844198</v>
      </c>
      <c r="AL27" s="100">
        <v>0.43309607073108619</v>
      </c>
      <c r="AM27" s="103">
        <f>'aij-UNIFAC (LLE)'!$D13*(1-LN(U27)-AG27)</f>
        <v>0</v>
      </c>
      <c r="AN27" s="104">
        <f>'aij-UNIFAC (LLE)'!$D13*(1-LN(V27)-AH27)</f>
        <v>0.12915838378122443</v>
      </c>
      <c r="AO27" s="104">
        <f>'aij-UNIFAC (LLE)'!$D13*(1-LN(W27)-AI27)</f>
        <v>-0.12944225682136265</v>
      </c>
      <c r="AP27" s="104">
        <f>'aij-UNIFAC (LLE)'!$D13*(1-LN(X27)-AJ27)</f>
        <v>8.8759934364035467E-2</v>
      </c>
      <c r="AQ27" s="104">
        <f>'aij-UNIFAC (LLE)'!$D13*(1-LN(Y27)-AK27)</f>
        <v>8.4393675814279145E-2</v>
      </c>
      <c r="AR27" s="105">
        <f>'aij-UNIFAC (LLE)'!$D13*(1-LN(Z27)-AL27)</f>
        <v>0.11485165891216836</v>
      </c>
      <c r="AS27" s="35"/>
      <c r="AT27" s="190" t="s">
        <v>233</v>
      </c>
      <c r="AU27" s="198"/>
      <c r="AV27" s="198"/>
      <c r="AW27" s="195"/>
    </row>
    <row r="28" spans="1:49" s="72" customFormat="1" ht="12">
      <c r="A28" s="35" t="str">
        <f>'aij-UNIFAC (LLE)'!B14</f>
        <v>ACCH2</v>
      </c>
      <c r="B28" s="57"/>
      <c r="C28" s="57"/>
      <c r="D28" s="57"/>
      <c r="E28" s="57"/>
      <c r="F28" s="57"/>
      <c r="G28" s="83">
        <f t="array" ref="G28">SUM(B28:F28*$B$22:$F$22)</f>
        <v>0</v>
      </c>
      <c r="H28" s="36" t="str">
        <f t="shared" si="0"/>
        <v>ACCH2</v>
      </c>
      <c r="I28" s="95">
        <f t="shared" si="1"/>
        <v>0</v>
      </c>
      <c r="J28" s="96">
        <f t="shared" si="1"/>
        <v>0</v>
      </c>
      <c r="K28" s="96">
        <f t="shared" si="1"/>
        <v>0</v>
      </c>
      <c r="L28" s="96">
        <f t="shared" si="1"/>
        <v>0</v>
      </c>
      <c r="M28" s="96">
        <f t="shared" si="1"/>
        <v>0</v>
      </c>
      <c r="N28" s="97">
        <f t="shared" si="2"/>
        <v>0</v>
      </c>
      <c r="O28" s="95">
        <f>I28*'aij-UNIFAC (LLE)'!$D14/I$42</f>
        <v>0</v>
      </c>
      <c r="P28" s="96">
        <f>J28*'aij-UNIFAC (LLE)'!$D14/J$42</f>
        <v>0</v>
      </c>
      <c r="Q28" s="96">
        <f>K28*'aij-UNIFAC (LLE)'!$D14/K$42</f>
        <v>0</v>
      </c>
      <c r="R28" s="96">
        <f>L28*'aij-UNIFAC (LLE)'!$D14/L$42</f>
        <v>0</v>
      </c>
      <c r="S28" s="96">
        <f>M28*'aij-UNIFAC (LLE)'!$D14/M$42</f>
        <v>0</v>
      </c>
      <c r="T28" s="98">
        <f>N28*'aij-UNIFAC (LLE)'!$D14/N$42</f>
        <v>0</v>
      </c>
      <c r="U28" s="95">
        <v>0.56570970094562389</v>
      </c>
      <c r="V28" s="96">
        <v>1.3582120059028764</v>
      </c>
      <c r="W28" s="96">
        <v>0.94765903739491542</v>
      </c>
      <c r="X28" s="99">
        <v>1.2575253067941117</v>
      </c>
      <c r="Y28" s="99">
        <v>0.96472630981672891</v>
      </c>
      <c r="Z28" s="100">
        <v>1.2589293040264729</v>
      </c>
      <c r="AA28" s="101">
        <f t="shared" si="3"/>
        <v>0</v>
      </c>
      <c r="AB28" s="102">
        <f t="shared" si="3"/>
        <v>0</v>
      </c>
      <c r="AC28" s="102">
        <f t="shared" si="3"/>
        <v>0</v>
      </c>
      <c r="AD28" s="102">
        <f t="shared" si="3"/>
        <v>0</v>
      </c>
      <c r="AE28" s="102">
        <f t="shared" si="3"/>
        <v>0</v>
      </c>
      <c r="AF28" s="97">
        <f t="shared" si="3"/>
        <v>0</v>
      </c>
      <c r="AG28" s="95">
        <v>1.6499871915044264</v>
      </c>
      <c r="AH28" s="99">
        <v>0.3314029862503941</v>
      </c>
      <c r="AI28" s="99">
        <v>1.0166921942319542</v>
      </c>
      <c r="AJ28" s="99">
        <v>0.54623035856280933</v>
      </c>
      <c r="AK28" s="99">
        <v>0.91759375875521743</v>
      </c>
      <c r="AL28" s="100">
        <v>0.46095164410050937</v>
      </c>
      <c r="AM28" s="103">
        <f>'aij-UNIFAC (LLE)'!$D14*(1-LN(U28)-AG28)</f>
        <v>-5.300655577378461E-2</v>
      </c>
      <c r="AN28" s="104">
        <f>'aij-UNIFAC (LLE)'!$D14*(1-LN(V28)-AH28)</f>
        <v>0.23920240114447305</v>
      </c>
      <c r="AO28" s="104">
        <f>'aij-UNIFAC (LLE)'!$D14*(1-LN(W28)-AI28)</f>
        <v>2.4465086174388535E-2</v>
      </c>
      <c r="AP28" s="104">
        <f>'aij-UNIFAC (LLE)'!$D14*(1-LN(X28)-AJ28)</f>
        <v>0.14825177001410547</v>
      </c>
      <c r="AQ28" s="104">
        <f>'aij-UNIFAC (LLE)'!$D14*(1-LN(Y28)-AK28)</f>
        <v>7.8089270084103421E-2</v>
      </c>
      <c r="AR28" s="105">
        <f>'aij-UNIFAC (LLE)'!$D14*(1-LN(Z28)-AL28)</f>
        <v>0.20379925823060033</v>
      </c>
      <c r="AS28" s="35"/>
      <c r="AT28" s="190" t="s">
        <v>234</v>
      </c>
      <c r="AU28" s="198"/>
      <c r="AV28" s="198"/>
      <c r="AW28" s="198"/>
    </row>
    <row r="29" spans="1:49" s="72" customFormat="1" ht="12">
      <c r="A29" s="35" t="str">
        <f>'aij-UNIFAC (LLE)'!B15</f>
        <v>ACCH3</v>
      </c>
      <c r="B29" s="57"/>
      <c r="C29" s="57"/>
      <c r="D29" s="57"/>
      <c r="E29" s="57"/>
      <c r="F29" s="57"/>
      <c r="G29" s="83">
        <f t="array" ref="G29">SUM(B29:F29*$B$22:$F$22)</f>
        <v>0</v>
      </c>
      <c r="H29" s="36" t="str">
        <f t="shared" si="0"/>
        <v>ACCH3</v>
      </c>
      <c r="I29" s="95">
        <f t="shared" si="1"/>
        <v>0</v>
      </c>
      <c r="J29" s="96">
        <f t="shared" si="1"/>
        <v>0</v>
      </c>
      <c r="K29" s="96">
        <f t="shared" si="1"/>
        <v>0</v>
      </c>
      <c r="L29" s="96">
        <f t="shared" si="1"/>
        <v>0</v>
      </c>
      <c r="M29" s="96">
        <f t="shared" si="1"/>
        <v>0</v>
      </c>
      <c r="N29" s="97">
        <f t="shared" si="2"/>
        <v>0</v>
      </c>
      <c r="O29" s="95">
        <f>I29*'aij-UNIFAC (LLE)'!$D15/I$42</f>
        <v>0</v>
      </c>
      <c r="P29" s="96">
        <f>J29*'aij-UNIFAC (LLE)'!$D15/J$42</f>
        <v>0</v>
      </c>
      <c r="Q29" s="96">
        <f>K29*'aij-UNIFAC (LLE)'!$D15/K$42</f>
        <v>0</v>
      </c>
      <c r="R29" s="96">
        <f>L29*'aij-UNIFAC (LLE)'!$D15/L$42</f>
        <v>0</v>
      </c>
      <c r="S29" s="96">
        <f>M29*'aij-UNIFAC (LLE)'!$D15/M$42</f>
        <v>0</v>
      </c>
      <c r="T29" s="98">
        <f>N29*'aij-UNIFAC (LLE)'!$D15/N$42</f>
        <v>0</v>
      </c>
      <c r="U29" s="95">
        <v>0.56570970094562389</v>
      </c>
      <c r="V29" s="96">
        <v>1.3582120059028764</v>
      </c>
      <c r="W29" s="96">
        <v>0.94765903739491542</v>
      </c>
      <c r="X29" s="99">
        <v>1.2575253067941117</v>
      </c>
      <c r="Y29" s="99">
        <v>0.96472630981672891</v>
      </c>
      <c r="Z29" s="100">
        <v>1.2589293040264729</v>
      </c>
      <c r="AA29" s="101">
        <f t="shared" si="3"/>
        <v>0</v>
      </c>
      <c r="AB29" s="102">
        <f t="shared" si="3"/>
        <v>0</v>
      </c>
      <c r="AC29" s="102">
        <f t="shared" si="3"/>
        <v>0</v>
      </c>
      <c r="AD29" s="102">
        <f t="shared" si="3"/>
        <v>0</v>
      </c>
      <c r="AE29" s="102">
        <f t="shared" si="3"/>
        <v>0</v>
      </c>
      <c r="AF29" s="97">
        <f t="shared" si="3"/>
        <v>0</v>
      </c>
      <c r="AG29" s="95">
        <v>1.6499871915044264</v>
      </c>
      <c r="AH29" s="99">
        <v>0.3314029862503941</v>
      </c>
      <c r="AI29" s="99">
        <v>1.0166921942319542</v>
      </c>
      <c r="AJ29" s="99">
        <v>0.54623035856280933</v>
      </c>
      <c r="AK29" s="99">
        <v>0.91759375875521743</v>
      </c>
      <c r="AL29" s="100">
        <v>0.46095164410050937</v>
      </c>
      <c r="AM29" s="103">
        <f>'aij-UNIFAC (LLE)'!$D15*(1-LN(U29)-AG29)</f>
        <v>-7.7742948468217415E-2</v>
      </c>
      <c r="AN29" s="104">
        <f>'aij-UNIFAC (LLE)'!$D15*(1-LN(V29)-AH29)</f>
        <v>0.35083018834522711</v>
      </c>
      <c r="AO29" s="104">
        <f>'aij-UNIFAC (LLE)'!$D15*(1-LN(W29)-AI29)</f>
        <v>3.5882126389103181E-2</v>
      </c>
      <c r="AP29" s="104">
        <f>'aij-UNIFAC (LLE)'!$D15*(1-LN(X29)-AJ29)</f>
        <v>0.21743592935402137</v>
      </c>
      <c r="AQ29" s="104">
        <f>'aij-UNIFAC (LLE)'!$D15*(1-LN(Y29)-AK29)</f>
        <v>0.114530929456685</v>
      </c>
      <c r="AR29" s="105">
        <f>'aij-UNIFAC (LLE)'!$D15*(1-LN(Z29)-AL29)</f>
        <v>0.29890557873821377</v>
      </c>
      <c r="AS29" s="35"/>
      <c r="AT29" s="190" t="s">
        <v>235</v>
      </c>
      <c r="AU29" s="198"/>
      <c r="AV29" s="198"/>
      <c r="AW29" s="198"/>
    </row>
    <row r="30" spans="1:49" s="72" customFormat="1" ht="11">
      <c r="A30" s="35" t="str">
        <f>'aij-UNIFAC (LLE)'!B16</f>
        <v>OH</v>
      </c>
      <c r="B30" s="57"/>
      <c r="C30" s="57"/>
      <c r="D30" s="57"/>
      <c r="E30" s="57">
        <v>1</v>
      </c>
      <c r="F30" s="57"/>
      <c r="G30" s="83">
        <f t="array" ref="G30">SUM(B30:F30*$B$22:$F$22)</f>
        <v>9.9999999999999995E-21</v>
      </c>
      <c r="H30" s="36" t="str">
        <f t="shared" si="0"/>
        <v>OH</v>
      </c>
      <c r="I30" s="95">
        <f t="shared" si="1"/>
        <v>0</v>
      </c>
      <c r="J30" s="96">
        <f t="shared" si="1"/>
        <v>0</v>
      </c>
      <c r="K30" s="96">
        <f t="shared" si="1"/>
        <v>0</v>
      </c>
      <c r="L30" s="96">
        <f t="shared" si="1"/>
        <v>0.33333333333333331</v>
      </c>
      <c r="M30" s="96">
        <f t="shared" si="1"/>
        <v>0</v>
      </c>
      <c r="N30" s="97">
        <f t="shared" si="2"/>
        <v>3.8197097020626422E-21</v>
      </c>
      <c r="O30" s="95">
        <f>I30*'aij-UNIFAC (LLE)'!$D16/I$42</f>
        <v>0</v>
      </c>
      <c r="P30" s="96">
        <f>J30*'aij-UNIFAC (LLE)'!$D16/J$42</f>
        <v>0</v>
      </c>
      <c r="Q30" s="96">
        <f>K30*'aij-UNIFAC (LLE)'!$D16/K$42</f>
        <v>0</v>
      </c>
      <c r="R30" s="96">
        <f>L30*'aij-UNIFAC (LLE)'!$D16/L$42</f>
        <v>0.46367851622874806</v>
      </c>
      <c r="S30" s="96">
        <f>M30*'aij-UNIFAC (LLE)'!$D16/M$42</f>
        <v>0</v>
      </c>
      <c r="T30" s="98">
        <f>N30*'aij-UNIFAC (LLE)'!$D16/N$42</f>
        <v>4.8682963559179002E-21</v>
      </c>
      <c r="U30" s="95">
        <v>9.061279816646535E-2</v>
      </c>
      <c r="V30" s="96">
        <v>0.34515011982789096</v>
      </c>
      <c r="W30" s="96">
        <v>0.22776888738322143</v>
      </c>
      <c r="X30" s="99">
        <v>0.52317156438365231</v>
      </c>
      <c r="Y30" s="99">
        <v>0.43984275902018355</v>
      </c>
      <c r="Z30" s="100">
        <v>0.31326232232262985</v>
      </c>
      <c r="AA30" s="101">
        <f t="shared" si="3"/>
        <v>0</v>
      </c>
      <c r="AB30" s="102">
        <f t="shared" si="3"/>
        <v>0</v>
      </c>
      <c r="AC30" s="102">
        <f t="shared" si="3"/>
        <v>0</v>
      </c>
      <c r="AD30" s="102">
        <f t="shared" si="3"/>
        <v>0.88628386516955882</v>
      </c>
      <c r="AE30" s="102">
        <f t="shared" si="3"/>
        <v>0</v>
      </c>
      <c r="AF30" s="97">
        <f t="shared" si="3"/>
        <v>1.5540638018076195E-20</v>
      </c>
      <c r="AG30" s="95">
        <v>1.0319160977502368</v>
      </c>
      <c r="AH30" s="99">
        <v>0.85040590036255082</v>
      </c>
      <c r="AI30" s="99">
        <v>1.1527072901010902</v>
      </c>
      <c r="AJ30" s="99">
        <v>1.1408618401952466</v>
      </c>
      <c r="AK30" s="99">
        <v>1.3218611820389752</v>
      </c>
      <c r="AL30" s="100">
        <v>0.91762285866725257</v>
      </c>
      <c r="AM30" s="103">
        <f>'aij-UNIFAC (LLE)'!$D16*(1-LN(U30)-AG30)</f>
        <v>2.8430924616524709</v>
      </c>
      <c r="AN30" s="104">
        <f>'aij-UNIFAC (LLE)'!$D16*(1-LN(V30)-AH30)</f>
        <v>1.4560439115526658</v>
      </c>
      <c r="AO30" s="104">
        <f>'aij-UNIFAC (LLE)'!$D16*(1-LN(W30)-AI30)</f>
        <v>1.5920598310164393</v>
      </c>
      <c r="AP30" s="104">
        <f>'aij-UNIFAC (LLE)'!$D16*(1-LN(X30)-AJ30)</f>
        <v>0.60838078744861135</v>
      </c>
      <c r="AQ30" s="104">
        <f>'aij-UNIFAC (LLE)'!$D16*(1-LN(Y30)-AK30)</f>
        <v>0.5993721597173659</v>
      </c>
      <c r="AR30" s="105">
        <f>'aij-UNIFAC (LLE)'!$D16*(1-LN(Z30)-AL30)</f>
        <v>1.4917097883465935</v>
      </c>
      <c r="AS30" s="35"/>
      <c r="AT30" s="35"/>
    </row>
    <row r="31" spans="1:49" s="72" customFormat="1" ht="11">
      <c r="A31" s="35" t="str">
        <f>'aij-UNIFAC (LLE)'!B17</f>
        <v>2-Propanol</v>
      </c>
      <c r="B31" s="57"/>
      <c r="C31" s="57"/>
      <c r="D31" s="57"/>
      <c r="E31" s="57"/>
      <c r="F31" s="57"/>
      <c r="G31" s="83">
        <f t="array" ref="G31">SUM(B31:F31*$B$22:$F$22)</f>
        <v>0</v>
      </c>
      <c r="H31" s="36" t="str">
        <f t="shared" si="0"/>
        <v>2-Propanol</v>
      </c>
      <c r="I31" s="95">
        <f t="shared" si="1"/>
        <v>0</v>
      </c>
      <c r="J31" s="96">
        <f t="shared" si="1"/>
        <v>0</v>
      </c>
      <c r="K31" s="96">
        <f t="shared" si="1"/>
        <v>0</v>
      </c>
      <c r="L31" s="96">
        <f t="shared" si="1"/>
        <v>0</v>
      </c>
      <c r="M31" s="96">
        <f t="shared" si="1"/>
        <v>0</v>
      </c>
      <c r="N31" s="97">
        <f t="shared" si="2"/>
        <v>0</v>
      </c>
      <c r="O31" s="95">
        <f>I31*'aij-UNIFAC (LLE)'!$D17/I$42</f>
        <v>0</v>
      </c>
      <c r="P31" s="96">
        <f>J31*'aij-UNIFAC (LLE)'!$D17/J$42</f>
        <v>0</v>
      </c>
      <c r="Q31" s="96">
        <f>K31*'aij-UNIFAC (LLE)'!$D17/K$42</f>
        <v>0</v>
      </c>
      <c r="R31" s="96">
        <f>L31*'aij-UNIFAC (LLE)'!$D17/L$42</f>
        <v>0</v>
      </c>
      <c r="S31" s="96">
        <f>M31*'aij-UNIFAC (LLE)'!$D17/M$42</f>
        <v>0</v>
      </c>
      <c r="T31" s="98">
        <f>N31*'aij-UNIFAC (LLE)'!$D17/N$42</f>
        <v>0</v>
      </c>
      <c r="U31" s="95">
        <v>0.13955465062458114</v>
      </c>
      <c r="V31" s="96">
        <v>1.11017300427524</v>
      </c>
      <c r="W31" s="96">
        <v>4.4667813280821749</v>
      </c>
      <c r="X31" s="99">
        <v>0.20159911248160622</v>
      </c>
      <c r="Y31" s="99">
        <v>0.32137119585810142</v>
      </c>
      <c r="Z31" s="100">
        <v>0.98857637037464596</v>
      </c>
      <c r="AA31" s="101">
        <f t="shared" si="3"/>
        <v>0</v>
      </c>
      <c r="AB31" s="102">
        <f t="shared" si="3"/>
        <v>0</v>
      </c>
      <c r="AC31" s="102">
        <f t="shared" si="3"/>
        <v>0</v>
      </c>
      <c r="AD31" s="102">
        <f t="shared" si="3"/>
        <v>0</v>
      </c>
      <c r="AE31" s="102">
        <f t="shared" si="3"/>
        <v>0</v>
      </c>
      <c r="AF31" s="97">
        <f t="shared" si="3"/>
        <v>0</v>
      </c>
      <c r="AG31" s="95">
        <v>2.3622821788376847</v>
      </c>
      <c r="AH31" s="99">
        <v>0.92248244811001356</v>
      </c>
      <c r="AI31" s="99">
        <v>0.16293279253148557</v>
      </c>
      <c r="AJ31" s="99">
        <v>3.4402010199015649</v>
      </c>
      <c r="AK31" s="99">
        <v>2.4142025275181576</v>
      </c>
      <c r="AL31" s="100">
        <v>1.081707393413228</v>
      </c>
      <c r="AM31" s="103">
        <f>'aij-UNIFAC (LLE)'!$D17*(1-LN(U31)-AG31)</f>
        <v>1.896320529596252</v>
      </c>
      <c r="AN31" s="104">
        <f>'aij-UNIFAC (LLE)'!$D17*(1-LN(V31)-AH31)</f>
        <v>-8.4342723554057836E-2</v>
      </c>
      <c r="AO31" s="104">
        <f>'aij-UNIFAC (LLE)'!$D17*(1-LN(W31)-AI31)</f>
        <v>-2.0605931521094161</v>
      </c>
      <c r="AP31" s="104">
        <f>'aij-UNIFAC (LLE)'!$D17*(1-LN(X31)-AJ31)</f>
        <v>-2.62018275666891</v>
      </c>
      <c r="AQ31" s="104">
        <f>'aij-UNIFAC (LLE)'!$D17*(1-LN(Y31)-AK31)</f>
        <v>-0.87173369645752774</v>
      </c>
      <c r="AR31" s="105">
        <f>'aij-UNIFAC (LLE)'!$D17*(1-LN(Z31)-AL31)</f>
        <v>-0.21936107232736843</v>
      </c>
      <c r="AS31" s="35"/>
      <c r="AT31" s="35"/>
    </row>
    <row r="32" spans="1:49" s="72" customFormat="1" ht="11">
      <c r="A32" s="35" t="str">
        <f>'aij-UNIFAC (LLE)'!B18</f>
        <v>H2O</v>
      </c>
      <c r="B32" s="57"/>
      <c r="C32" s="57"/>
      <c r="D32" s="57"/>
      <c r="E32" s="57"/>
      <c r="F32" s="57"/>
      <c r="G32" s="83">
        <f t="array" ref="G32">SUM(B32:F32*$B$22:$F$22)</f>
        <v>0</v>
      </c>
      <c r="H32" s="36" t="str">
        <f t="shared" si="0"/>
        <v>H2O</v>
      </c>
      <c r="I32" s="95">
        <f t="shared" si="1"/>
        <v>0</v>
      </c>
      <c r="J32" s="96">
        <f t="shared" si="1"/>
        <v>0</v>
      </c>
      <c r="K32" s="96">
        <f t="shared" si="1"/>
        <v>0</v>
      </c>
      <c r="L32" s="96">
        <f t="shared" si="1"/>
        <v>0</v>
      </c>
      <c r="M32" s="96">
        <f t="shared" si="1"/>
        <v>0</v>
      </c>
      <c r="N32" s="97">
        <f t="shared" si="2"/>
        <v>0</v>
      </c>
      <c r="O32" s="95">
        <f>I32*'aij-UNIFAC (LLE)'!$D18/I$42</f>
        <v>0</v>
      </c>
      <c r="P32" s="96">
        <f>J32*'aij-UNIFAC (LLE)'!$D18/J$42</f>
        <v>0</v>
      </c>
      <c r="Q32" s="96">
        <f>K32*'aij-UNIFAC (LLE)'!$D18/K$42</f>
        <v>0</v>
      </c>
      <c r="R32" s="96">
        <f>L32*'aij-UNIFAC (LLE)'!$D18/L$42</f>
        <v>0</v>
      </c>
      <c r="S32" s="96">
        <f>M32*'aij-UNIFAC (LLE)'!$D18/M$42</f>
        <v>0</v>
      </c>
      <c r="T32" s="98">
        <f>N32*'aij-UNIFAC (LLE)'!$D18/N$42</f>
        <v>0</v>
      </c>
      <c r="U32" s="95">
        <v>5.3311405683924451E-2</v>
      </c>
      <c r="V32" s="96">
        <v>7.7366984048662726E-2</v>
      </c>
      <c r="W32" s="96">
        <v>6.1623003967940904E-2</v>
      </c>
      <c r="X32" s="99">
        <v>0.42675248933739091</v>
      </c>
      <c r="Y32" s="99">
        <v>6.8683942805094933E-2</v>
      </c>
      <c r="Z32" s="100">
        <v>7.4353361501054357E-2</v>
      </c>
      <c r="AA32" s="101">
        <f t="shared" si="3"/>
        <v>0</v>
      </c>
      <c r="AB32" s="102">
        <f t="shared" si="3"/>
        <v>0</v>
      </c>
      <c r="AC32" s="102">
        <f t="shared" si="3"/>
        <v>0</v>
      </c>
      <c r="AD32" s="102">
        <f t="shared" si="3"/>
        <v>0</v>
      </c>
      <c r="AE32" s="102">
        <f t="shared" si="3"/>
        <v>0</v>
      </c>
      <c r="AF32" s="97">
        <f t="shared" si="3"/>
        <v>0</v>
      </c>
      <c r="AG32" s="95">
        <v>0.28035351857219498</v>
      </c>
      <c r="AH32" s="99">
        <v>1.7431394506556939</v>
      </c>
      <c r="AI32" s="99">
        <v>0.3001162703558663</v>
      </c>
      <c r="AJ32" s="99">
        <v>1.5881075649745173</v>
      </c>
      <c r="AK32" s="99">
        <v>3.7327508216339442</v>
      </c>
      <c r="AL32" s="100">
        <v>1.7164127051029556</v>
      </c>
      <c r="AM32" s="103">
        <f>'aij-UNIFAC (LLE)'!$D18*(1-LN(U32)-AG32)</f>
        <v>5.1117520465385828</v>
      </c>
      <c r="AN32" s="104">
        <f>'aij-UNIFAC (LLE)'!$D18*(1-LN(V32)-AH32)</f>
        <v>2.5424779819785885</v>
      </c>
      <c r="AO32" s="104">
        <f>'aij-UNIFAC (LLE)'!$D18*(1-LN(W32)-AI32)</f>
        <v>4.8812452734647618</v>
      </c>
      <c r="AP32" s="104">
        <f>'aij-UNIFAC (LLE)'!$D18*(1-LN(X32)-AJ32)</f>
        <v>0.3688209267468302</v>
      </c>
      <c r="AQ32" s="104">
        <f>'aij-UNIFAC (LLE)'!$D18*(1-LN(Y32)-AK32)</f>
        <v>-7.6315379528791721E-2</v>
      </c>
      <c r="AR32" s="105">
        <f>'aij-UNIFAC (LLE)'!$D18*(1-LN(Z32)-AL32)</f>
        <v>2.6355191662029296</v>
      </c>
      <c r="AS32" s="35"/>
      <c r="AT32" s="35" t="s">
        <v>88</v>
      </c>
    </row>
    <row r="33" spans="1:46" s="72" customFormat="1" ht="13">
      <c r="A33" s="35" t="str">
        <f>'aij-UNIFAC (LLE)'!B19</f>
        <v>ACOH</v>
      </c>
      <c r="B33" s="57"/>
      <c r="C33" s="57"/>
      <c r="D33" s="57"/>
      <c r="E33" s="57"/>
      <c r="F33" s="57"/>
      <c r="G33" s="83">
        <f t="array" ref="G33">SUM(B33:F33*$B$22:$F$22)</f>
        <v>0</v>
      </c>
      <c r="H33" s="36" t="str">
        <f t="shared" si="0"/>
        <v>ACOH</v>
      </c>
      <c r="I33" s="95">
        <f t="shared" si="1"/>
        <v>0</v>
      </c>
      <c r="J33" s="96">
        <f t="shared" si="1"/>
        <v>0</v>
      </c>
      <c r="K33" s="96">
        <f t="shared" si="1"/>
        <v>0</v>
      </c>
      <c r="L33" s="96">
        <f t="shared" si="1"/>
        <v>0</v>
      </c>
      <c r="M33" s="96">
        <f t="shared" si="1"/>
        <v>0</v>
      </c>
      <c r="N33" s="97">
        <f t="shared" si="2"/>
        <v>0</v>
      </c>
      <c r="O33" s="95">
        <f>I33*'aij-UNIFAC (LLE)'!$D19/I$42</f>
        <v>0</v>
      </c>
      <c r="P33" s="96">
        <f>J33*'aij-UNIFAC (LLE)'!$D19/J$42</f>
        <v>0</v>
      </c>
      <c r="Q33" s="96">
        <f>K33*'aij-UNIFAC (LLE)'!$D19/K$42</f>
        <v>0</v>
      </c>
      <c r="R33" s="96">
        <f>L33*'aij-UNIFAC (LLE)'!$D19/L$42</f>
        <v>0</v>
      </c>
      <c r="S33" s="96">
        <f>M33*'aij-UNIFAC (LLE)'!$D19/M$42</f>
        <v>0</v>
      </c>
      <c r="T33" s="98">
        <f>N33*'aij-UNIFAC (LLE)'!$D19/N$42</f>
        <v>0</v>
      </c>
      <c r="U33" s="95">
        <v>3.606178694293089E-3</v>
      </c>
      <c r="V33" s="96">
        <v>4.4220569140220363</v>
      </c>
      <c r="W33" s="96">
        <v>0.90551577191100008</v>
      </c>
      <c r="X33" s="99">
        <v>0.90357257329372054</v>
      </c>
      <c r="Y33" s="99">
        <v>0.59092034877784394</v>
      </c>
      <c r="Z33" s="100">
        <v>3.8685244834320933</v>
      </c>
      <c r="AA33" s="101">
        <f t="shared" si="3"/>
        <v>0</v>
      </c>
      <c r="AB33" s="102">
        <f t="shared" si="3"/>
        <v>0</v>
      </c>
      <c r="AC33" s="102">
        <f t="shared" si="3"/>
        <v>0</v>
      </c>
      <c r="AD33" s="102">
        <f t="shared" si="3"/>
        <v>0</v>
      </c>
      <c r="AE33" s="102">
        <f t="shared" si="3"/>
        <v>0</v>
      </c>
      <c r="AF33" s="97">
        <f t="shared" si="3"/>
        <v>0</v>
      </c>
      <c r="AG33" s="95">
        <v>5.023820436383283</v>
      </c>
      <c r="AH33" s="99">
        <v>15.733213584535548</v>
      </c>
      <c r="AI33" s="99">
        <v>1.0816908507288998</v>
      </c>
      <c r="AJ33" s="99">
        <v>2.4445109594778573</v>
      </c>
      <c r="AK33" s="99">
        <v>2.4173319344244217</v>
      </c>
      <c r="AL33" s="100">
        <v>15.756102297354271</v>
      </c>
      <c r="AM33" s="103">
        <f>'aij-UNIFAC (LLE)'!$D19*(1-LN(U33)-AG33)</f>
        <v>1.0888745917464906</v>
      </c>
      <c r="AN33" s="104">
        <f>'aij-UNIFAC (LLE)'!$D19*(1-LN(V33)-AH33)</f>
        <v>-11.029476605527014</v>
      </c>
      <c r="AO33" s="104">
        <f>'aij-UNIFAC (LLE)'!$D19*(1-LN(W33)-AI33)</f>
        <v>1.1940618561477098E-2</v>
      </c>
      <c r="AP33" s="104">
        <f>'aij-UNIFAC (LLE)'!$D19*(1-LN(X33)-AJ33)</f>
        <v>-0.91331623610672652</v>
      </c>
      <c r="AQ33" s="104">
        <f>'aij-UNIFAC (LLE)'!$D19*(1-LN(Y33)-AK33)</f>
        <v>-0.60605536528435378</v>
      </c>
      <c r="AR33" s="105">
        <f>'aij-UNIFAC (LLE)'!$D19*(1-LN(Z33)-AL33)</f>
        <v>-10.95410331365879</v>
      </c>
      <c r="AS33" s="5"/>
      <c r="AT33" s="35" t="s">
        <v>89</v>
      </c>
    </row>
    <row r="34" spans="1:46" s="72" customFormat="1" ht="13">
      <c r="A34" s="35" t="str">
        <f>'aij-UNIFAC (LLE)'!B20</f>
        <v>CH3CO</v>
      </c>
      <c r="B34" s="57"/>
      <c r="C34" s="57">
        <v>1</v>
      </c>
      <c r="D34" s="57"/>
      <c r="E34" s="57"/>
      <c r="F34" s="57"/>
      <c r="G34" s="83">
        <f t="array" ref="G34">SUM(B34:F34*$B$22:$F$22)</f>
        <v>0.92300000000000004</v>
      </c>
      <c r="H34" s="36" t="str">
        <f t="shared" si="0"/>
        <v>CH3CO</v>
      </c>
      <c r="I34" s="95">
        <f t="shared" si="1"/>
        <v>0</v>
      </c>
      <c r="J34" s="96">
        <f t="shared" si="1"/>
        <v>0.5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7">
        <f t="shared" si="2"/>
        <v>0.35255920550038194</v>
      </c>
      <c r="O34" s="95">
        <f>I34*'aij-UNIFAC (LLE)'!$D20/I$42</f>
        <v>0</v>
      </c>
      <c r="P34" s="96">
        <f>J34*'aij-UNIFAC (LLE)'!$D20/J$42</f>
        <v>0.63698630136986301</v>
      </c>
      <c r="Q34" s="96">
        <f>K34*'aij-UNIFAC (LLE)'!$D20/K$42</f>
        <v>0</v>
      </c>
      <c r="R34" s="96">
        <f>L34*'aij-UNIFAC (LLE)'!$D20/L$42</f>
        <v>0</v>
      </c>
      <c r="S34" s="96">
        <f>M34*'aij-UNIFAC (LLE)'!$D20/M$42</f>
        <v>0</v>
      </c>
      <c r="T34" s="98">
        <f>N34*'aij-UNIFAC (LLE)'!$D20/N$42</f>
        <v>0.55718625452751558</v>
      </c>
      <c r="U34" s="95">
        <v>0.13196176603097484</v>
      </c>
      <c r="V34" s="96">
        <v>0.70939284067583286</v>
      </c>
      <c r="W34" s="96">
        <v>15.1589800282905</v>
      </c>
      <c r="X34" s="99">
        <v>0.47582836698876918</v>
      </c>
      <c r="Y34" s="99">
        <v>0.91620658850339476</v>
      </c>
      <c r="Z34" s="100">
        <v>0.63705372332622578</v>
      </c>
      <c r="AA34" s="101">
        <f t="shared" si="3"/>
        <v>0</v>
      </c>
      <c r="AB34" s="102">
        <f t="shared" si="3"/>
        <v>0.89793167458951417</v>
      </c>
      <c r="AC34" s="102">
        <f t="shared" si="3"/>
        <v>0</v>
      </c>
      <c r="AD34" s="102">
        <f t="shared" si="3"/>
        <v>0</v>
      </c>
      <c r="AE34" s="102">
        <f t="shared" si="3"/>
        <v>0</v>
      </c>
      <c r="AF34" s="97">
        <f t="shared" si="3"/>
        <v>0.87462993170858327</v>
      </c>
      <c r="AG34" s="95">
        <v>1.3062139877088843</v>
      </c>
      <c r="AH34" s="99">
        <v>1.2302005464644874</v>
      </c>
      <c r="AI34" s="99">
        <v>0.95162000309046912</v>
      </c>
      <c r="AJ34" s="99">
        <v>1.0456932595193167</v>
      </c>
      <c r="AK34" s="99">
        <v>0.8038245190452924</v>
      </c>
      <c r="AL34" s="100">
        <v>1.3013728227313315</v>
      </c>
      <c r="AM34" s="103">
        <f>'aij-UNIFAC (LLE)'!$D20*(1-LN(U34)-AG34)</f>
        <v>2.5579152441435218</v>
      </c>
      <c r="AN34" s="104">
        <f>'aij-UNIFAC (LLE)'!$D20*(1-LN(V34)-AH34)</f>
        <v>0.16836018008135731</v>
      </c>
      <c r="AO34" s="104">
        <f>'aij-UNIFAC (LLE)'!$D20*(1-LN(W34)-AI34)</f>
        <v>-3.9732770936712112</v>
      </c>
      <c r="AP34" s="104">
        <f>'aij-UNIFAC (LLE)'!$D20*(1-LN(X34)-AJ34)</f>
        <v>1.0371431480643405</v>
      </c>
      <c r="AQ34" s="104">
        <f>'aij-UNIFAC (LLE)'!$D20*(1-LN(Y34)-AK34)</f>
        <v>0.42212906443762455</v>
      </c>
      <c r="AR34" s="105">
        <f>'aij-UNIFAC (LLE)'!$D20*(1-LN(Z34)-AL34)</f>
        <v>0.22249835771027593</v>
      </c>
      <c r="AS34" s="5"/>
      <c r="AT34" s="35" t="s">
        <v>91</v>
      </c>
    </row>
    <row r="35" spans="1:46" s="72" customFormat="1" ht="13">
      <c r="A35" s="35" t="str">
        <f>'aij-UNIFAC (LLE)'!B21</f>
        <v>CHO</v>
      </c>
      <c r="B35" s="57"/>
      <c r="C35" s="57"/>
      <c r="D35" s="57"/>
      <c r="E35" s="57"/>
      <c r="F35" s="57"/>
      <c r="G35" s="83">
        <f t="array" ref="G35">SUM(B35:F35*$B$22:$F$22)</f>
        <v>0</v>
      </c>
      <c r="H35" s="36" t="str">
        <f t="shared" si="0"/>
        <v>CHO</v>
      </c>
      <c r="I35" s="95">
        <f t="shared" si="1"/>
        <v>0</v>
      </c>
      <c r="J35" s="96">
        <f t="shared" si="1"/>
        <v>0</v>
      </c>
      <c r="K35" s="96">
        <f t="shared" si="1"/>
        <v>0</v>
      </c>
      <c r="L35" s="96">
        <f t="shared" si="1"/>
        <v>0</v>
      </c>
      <c r="M35" s="96">
        <f t="shared" si="1"/>
        <v>0</v>
      </c>
      <c r="N35" s="97">
        <f t="shared" si="2"/>
        <v>0</v>
      </c>
      <c r="O35" s="95">
        <f>I35*'aij-UNIFAC (LLE)'!$D21/I$42</f>
        <v>0</v>
      </c>
      <c r="P35" s="96">
        <f>J35*'aij-UNIFAC (LLE)'!$D21/J$42</f>
        <v>0</v>
      </c>
      <c r="Q35" s="96">
        <f>K35*'aij-UNIFAC (LLE)'!$D21/K$42</f>
        <v>0</v>
      </c>
      <c r="R35" s="96">
        <f>L35*'aij-UNIFAC (LLE)'!$D21/L$42</f>
        <v>0</v>
      </c>
      <c r="S35" s="96">
        <f>M35*'aij-UNIFAC (LLE)'!$D21/M$42</f>
        <v>0</v>
      </c>
      <c r="T35" s="98">
        <f>N35*'aij-UNIFAC (LLE)'!$D21/N$42</f>
        <v>0</v>
      </c>
      <c r="U35" s="95">
        <v>0.29057717795438071</v>
      </c>
      <c r="V35" s="96">
        <v>0.93525645958135484</v>
      </c>
      <c r="W35" s="96">
        <v>0.96059607526420976</v>
      </c>
      <c r="X35" s="99">
        <v>0.31654633910133334</v>
      </c>
      <c r="Y35" s="99">
        <v>0.25504465096244022</v>
      </c>
      <c r="Z35" s="100">
        <v>0.85449265545952668</v>
      </c>
      <c r="AA35" s="101">
        <f t="shared" si="3"/>
        <v>0</v>
      </c>
      <c r="AB35" s="102">
        <f t="shared" si="3"/>
        <v>0</v>
      </c>
      <c r="AC35" s="102">
        <f t="shared" si="3"/>
        <v>0</v>
      </c>
      <c r="AD35" s="102">
        <f t="shared" si="3"/>
        <v>0</v>
      </c>
      <c r="AE35" s="102">
        <f t="shared" si="3"/>
        <v>0</v>
      </c>
      <c r="AF35" s="97">
        <f t="shared" si="3"/>
        <v>0</v>
      </c>
      <c r="AG35" s="95">
        <v>1.2928706888089005</v>
      </c>
      <c r="AH35" s="99">
        <v>0.83355952488206919</v>
      </c>
      <c r="AI35" s="99">
        <v>0.96894446469167872</v>
      </c>
      <c r="AJ35" s="99">
        <v>4.3333212272269055</v>
      </c>
      <c r="AK35" s="99">
        <v>1.3024462507656558</v>
      </c>
      <c r="AL35" s="100">
        <v>0.91865812047337125</v>
      </c>
      <c r="AM35" s="103">
        <f>'aij-UNIFAC (LLE)'!$D21*(1-LN(U35)-AG35)</f>
        <v>0.89397857677549375</v>
      </c>
      <c r="AN35" s="104">
        <f>'aij-UNIFAC (LLE)'!$D21*(1-LN(V35)-AH35)</f>
        <v>0.22123947544608036</v>
      </c>
      <c r="AO35" s="104">
        <f>'aij-UNIFAC (LLE)'!$D21*(1-LN(W35)-AI35)</f>
        <v>6.7551456620348727E-2</v>
      </c>
      <c r="AP35" s="104">
        <f>'aij-UNIFAC (LLE)'!$D21*(1-LN(X35)-AJ35)</f>
        <v>-2.0695177394855304</v>
      </c>
      <c r="AQ35" s="104">
        <f>'aij-UNIFAC (LLE)'!$D21*(1-LN(Y35)-AK35)</f>
        <v>1.0085491359512961</v>
      </c>
      <c r="AR35" s="105">
        <f>'aij-UNIFAC (LLE)'!$D21*(1-LN(Z35)-AL35)</f>
        <v>0.22618261006391049</v>
      </c>
      <c r="AS35" s="5"/>
      <c r="AT35" s="35" t="s">
        <v>92</v>
      </c>
    </row>
    <row r="36" spans="1:46" s="72" customFormat="1" ht="13">
      <c r="A36" s="35" t="str">
        <f>'aij-UNIFAC (LLE)'!B22</f>
        <v>COOH</v>
      </c>
      <c r="B36" s="57"/>
      <c r="C36" s="57"/>
      <c r="D36" s="57"/>
      <c r="E36" s="57"/>
      <c r="F36" s="57">
        <v>1</v>
      </c>
      <c r="G36" s="83">
        <f t="array" ref="G36">SUM(B36:F36*$B$22:$F$22)</f>
        <v>9.9999999999999995E-21</v>
      </c>
      <c r="H36" s="36" t="str">
        <f t="shared" si="0"/>
        <v>COOH</v>
      </c>
      <c r="I36" s="95">
        <f t="shared" ref="I36:M41" si="4">B36/B$43</f>
        <v>0</v>
      </c>
      <c r="J36" s="96">
        <f t="shared" si="4"/>
        <v>0</v>
      </c>
      <c r="K36" s="96">
        <f t="shared" si="4"/>
        <v>0</v>
      </c>
      <c r="L36" s="96">
        <f t="shared" si="4"/>
        <v>0</v>
      </c>
      <c r="M36" s="96">
        <f t="shared" si="4"/>
        <v>0.5</v>
      </c>
      <c r="N36" s="97">
        <f t="shared" ref="N36:N41" si="5">G36/$G$42</f>
        <v>3.8197097020626422E-21</v>
      </c>
      <c r="O36" s="95">
        <f>I36*'aij-UNIFAC (LLE)'!$D22/I$42</f>
        <v>0</v>
      </c>
      <c r="P36" s="96">
        <f>J36*'aij-UNIFAC (LLE)'!$D22/J$42</f>
        <v>0</v>
      </c>
      <c r="Q36" s="96">
        <f>K36*'aij-UNIFAC (LLE)'!$D22/K$42</f>
        <v>0</v>
      </c>
      <c r="R36" s="96">
        <f>L36*'aij-UNIFAC (LLE)'!$D22/L$42</f>
        <v>0</v>
      </c>
      <c r="S36" s="96">
        <f>M36*'aij-UNIFAC (LLE)'!$D22/M$42</f>
        <v>0.59073359073359066</v>
      </c>
      <c r="T36" s="98">
        <f>N36*'aij-UNIFAC (LLE)'!$D22/N$42</f>
        <v>4.9656622830362581E-21</v>
      </c>
      <c r="U36" s="95">
        <v>0.20694489145117453</v>
      </c>
      <c r="V36" s="96">
        <v>0.23468612894480873</v>
      </c>
      <c r="W36" s="96">
        <v>0.31469357503860934</v>
      </c>
      <c r="X36" s="99">
        <v>0.9944908224547</v>
      </c>
      <c r="Y36" s="99">
        <v>0.84511680200802219</v>
      </c>
      <c r="Z36" s="100">
        <v>0.23121077626187669</v>
      </c>
      <c r="AA36" s="101">
        <f t="shared" si="3"/>
        <v>0</v>
      </c>
      <c r="AB36" s="102">
        <f t="shared" si="3"/>
        <v>0</v>
      </c>
      <c r="AC36" s="102">
        <f t="shared" si="3"/>
        <v>0</v>
      </c>
      <c r="AD36" s="102">
        <f t="shared" si="3"/>
        <v>0</v>
      </c>
      <c r="AE36" s="102">
        <f t="shared" si="3"/>
        <v>0.69899638645213347</v>
      </c>
      <c r="AF36" s="97">
        <f t="shared" si="3"/>
        <v>2.1476777005462715E-20</v>
      </c>
      <c r="AG36" s="95">
        <v>0.77297140873202208</v>
      </c>
      <c r="AH36" s="99">
        <v>1.2696641602180871</v>
      </c>
      <c r="AI36" s="99">
        <v>0.77042238434547106</v>
      </c>
      <c r="AJ36" s="99">
        <v>0.59382200569776566</v>
      </c>
      <c r="AK36" s="99">
        <v>0.70159460281416497</v>
      </c>
      <c r="AL36" s="100">
        <v>1.3098518437949938</v>
      </c>
      <c r="AM36" s="103">
        <f>'aij-UNIFAC (LLE)'!$D22*(1-LN(U36)-AG36)</f>
        <v>2.2060535568581758</v>
      </c>
      <c r="AN36" s="104">
        <f>'aij-UNIFAC (LLE)'!$D22*(1-LN(V36)-AH36)</f>
        <v>1.4441267534953484</v>
      </c>
      <c r="AO36" s="104">
        <f>'aij-UNIFAC (LLE)'!$D22*(1-LN(W36)-AI36)</f>
        <v>1.6961378124719089</v>
      </c>
      <c r="AP36" s="104">
        <f>'aij-UNIFAC (LLE)'!$D22*(1-LN(X36)-AJ36)</f>
        <v>0.50392374168067</v>
      </c>
      <c r="AQ36" s="104">
        <f>'aij-UNIFAC (LLE)'!$D22*(1-LN(Y36)-AK36)</f>
        <v>0.57122345730908408</v>
      </c>
      <c r="AR36" s="105">
        <f>'aij-UNIFAC (LLE)'!$D22*(1-LN(Z36)-AL36)</f>
        <v>1.4131981957593998</v>
      </c>
      <c r="AS36" s="5"/>
      <c r="AT36" s="5"/>
    </row>
    <row r="37" spans="1:46">
      <c r="A37" s="35" t="str">
        <f>'aij-UNIFAC (LLE)'!B23</f>
        <v>CH3COO</v>
      </c>
      <c r="B37" s="57"/>
      <c r="C37" s="57"/>
      <c r="D37" s="57"/>
      <c r="E37" s="57"/>
      <c r="F37" s="57"/>
      <c r="G37" s="83">
        <f t="array" ref="G37">SUM(B37:F37*$B$22:$F$22)</f>
        <v>0</v>
      </c>
      <c r="H37" s="36" t="str">
        <f t="shared" si="0"/>
        <v>CH3COO</v>
      </c>
      <c r="I37" s="95">
        <f t="shared" si="4"/>
        <v>0</v>
      </c>
      <c r="J37" s="96">
        <f t="shared" si="4"/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7">
        <f t="shared" si="5"/>
        <v>0</v>
      </c>
      <c r="O37" s="95">
        <f>I37*'aij-UNIFAC (LLE)'!$D23/I$42</f>
        <v>0</v>
      </c>
      <c r="P37" s="96">
        <f>J37*'aij-UNIFAC (LLE)'!$D23/J$42</f>
        <v>0</v>
      </c>
      <c r="Q37" s="96">
        <f>K37*'aij-UNIFAC (LLE)'!$D23/K$42</f>
        <v>0</v>
      </c>
      <c r="R37" s="96">
        <f>L37*'aij-UNIFAC (LLE)'!$D23/L$42</f>
        <v>0</v>
      </c>
      <c r="S37" s="96">
        <f>M37*'aij-UNIFAC (LLE)'!$D23/M$42</f>
        <v>0</v>
      </c>
      <c r="T37" s="98">
        <f>N37*'aij-UNIFAC (LLE)'!$D23/N$42</f>
        <v>0</v>
      </c>
      <c r="U37" s="95">
        <v>0.97974069669273023</v>
      </c>
      <c r="V37" s="96">
        <v>0.27671815405927053</v>
      </c>
      <c r="W37" s="96">
        <v>19.398195296491945</v>
      </c>
      <c r="X37" s="99">
        <v>0.25737155356737179</v>
      </c>
      <c r="Y37" s="99">
        <v>0.89713317416883609</v>
      </c>
      <c r="Z37" s="100">
        <v>0.36479105564715159</v>
      </c>
      <c r="AA37" s="101">
        <f t="shared" si="3"/>
        <v>0</v>
      </c>
      <c r="AB37" s="102">
        <f t="shared" si="3"/>
        <v>0</v>
      </c>
      <c r="AC37" s="102">
        <f t="shared" si="3"/>
        <v>0</v>
      </c>
      <c r="AD37" s="102">
        <f t="shared" si="3"/>
        <v>0</v>
      </c>
      <c r="AE37" s="102">
        <f t="shared" si="3"/>
        <v>0</v>
      </c>
      <c r="AF37" s="97">
        <f t="shared" si="3"/>
        <v>0</v>
      </c>
      <c r="AG37" s="95">
        <v>0.67596877718068393</v>
      </c>
      <c r="AH37" s="99">
        <v>1.9771964644818396</v>
      </c>
      <c r="AI37" s="99">
        <v>2.1567203960372066</v>
      </c>
      <c r="AJ37" s="99">
        <v>2.8027848881777229</v>
      </c>
      <c r="AK37" s="99">
        <v>2.9744133406881712</v>
      </c>
      <c r="AL37" s="100">
        <v>1.9128413398848982</v>
      </c>
      <c r="AM37" s="103">
        <f>'aij-UNIFAC (LLE)'!$D23*(1-LN(U37)-AG37)</f>
        <v>0.59529351230177641</v>
      </c>
      <c r="AN37" s="104">
        <f>'aij-UNIFAC (LLE)'!$D23*(1-LN(V37)-AH37)</f>
        <v>0.53146250613957524</v>
      </c>
      <c r="AO37" s="104">
        <f>'aij-UNIFAC (LLE)'!$D23*(1-LN(W37)-AI37)</f>
        <v>-7.1226439461940894</v>
      </c>
      <c r="AP37" s="104">
        <f>'aij-UNIFAC (LLE)'!$D23*(1-LN(X37)-AJ37)</f>
        <v>-0.76991106311854751</v>
      </c>
      <c r="AQ37" s="104">
        <f>'aij-UNIFAC (LLE)'!$D23*(1-LN(Y37)-AK37)</f>
        <v>-3.2242101907924399</v>
      </c>
      <c r="AR37" s="105">
        <f>'aij-UNIFAC (LLE)'!$D23*(1-LN(Z37)-AL37)</f>
        <v>0.16517813709670909</v>
      </c>
      <c r="AS37" s="5"/>
      <c r="AT37" s="5"/>
    </row>
    <row r="38" spans="1:46">
      <c r="A38" s="35" t="str">
        <f>'aij-UNIFAC (LLE)'!B24</f>
        <v>CH2O</v>
      </c>
      <c r="B38" s="57"/>
      <c r="C38" s="57"/>
      <c r="D38" s="57"/>
      <c r="E38" s="57"/>
      <c r="F38" s="57"/>
      <c r="G38" s="83">
        <f t="array" ref="G38">SUM(B38:F38*$B$22:$F$22)</f>
        <v>0</v>
      </c>
      <c r="H38" s="36" t="str">
        <f t="shared" si="0"/>
        <v>CH2O</v>
      </c>
      <c r="I38" s="95">
        <f t="shared" si="4"/>
        <v>0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0</v>
      </c>
      <c r="N38" s="97">
        <f t="shared" si="5"/>
        <v>0</v>
      </c>
      <c r="O38" s="95">
        <f>I38*'aij-UNIFAC (LLE)'!$D24/I$42</f>
        <v>0</v>
      </c>
      <c r="P38" s="96">
        <f>J38*'aij-UNIFAC (LLE)'!$D24/J$42</f>
        <v>0</v>
      </c>
      <c r="Q38" s="96">
        <f>K38*'aij-UNIFAC (LLE)'!$D24/K$42</f>
        <v>0</v>
      </c>
      <c r="R38" s="96">
        <f>L38*'aij-UNIFAC (LLE)'!$D24/L$42</f>
        <v>0</v>
      </c>
      <c r="S38" s="96">
        <f>M38*'aij-UNIFAC (LLE)'!$D24/M$42</f>
        <v>0</v>
      </c>
      <c r="T38" s="98">
        <f>N38*'aij-UNIFAC (LLE)'!$D24/N$42</f>
        <v>0</v>
      </c>
      <c r="U38" s="95">
        <v>0.89615964669970671</v>
      </c>
      <c r="V38" s="96">
        <v>0.66371740096666321</v>
      </c>
      <c r="W38" s="96">
        <v>0.98236240662377772</v>
      </c>
      <c r="X38" s="99">
        <v>0.24542353579941539</v>
      </c>
      <c r="Y38" s="99">
        <v>0.86412494336059542</v>
      </c>
      <c r="Z38" s="100">
        <v>0.69283718275435191</v>
      </c>
      <c r="AA38" s="101">
        <f t="shared" si="3"/>
        <v>0</v>
      </c>
      <c r="AB38" s="102">
        <f t="shared" si="3"/>
        <v>0</v>
      </c>
      <c r="AC38" s="102">
        <f t="shared" si="3"/>
        <v>0</v>
      </c>
      <c r="AD38" s="102">
        <f t="shared" si="3"/>
        <v>0</v>
      </c>
      <c r="AE38" s="102">
        <f t="shared" si="3"/>
        <v>0</v>
      </c>
      <c r="AF38" s="97">
        <f t="shared" si="3"/>
        <v>0</v>
      </c>
      <c r="AG38" s="95">
        <v>0.83708718436358731</v>
      </c>
      <c r="AH38" s="99">
        <v>0.75296836137463441</v>
      </c>
      <c r="AI38" s="99">
        <v>1.536877971176924</v>
      </c>
      <c r="AJ38" s="99">
        <v>0.55888658459326446</v>
      </c>
      <c r="AK38" s="99">
        <v>1.0541732946441482E-2</v>
      </c>
      <c r="AL38" s="100">
        <v>0.81258232185199819</v>
      </c>
      <c r="AM38" s="103">
        <f>'aij-UNIFAC (LLE)'!$D24*(1-LN(U38)-AG38)</f>
        <v>0.21258862590815356</v>
      </c>
      <c r="AN38" s="104">
        <f>'aij-UNIFAC (LLE)'!$D24*(1-LN(V38)-AH38)</f>
        <v>0.51240575854937087</v>
      </c>
      <c r="AO38" s="104">
        <f>'aij-UNIFAC (LLE)'!$D24*(1-LN(W38)-AI38)</f>
        <v>-0.40488472594617769</v>
      </c>
      <c r="AP38" s="104">
        <f>'aij-UNIFAC (LLE)'!$D24*(1-LN(X38)-AJ38)</f>
        <v>1.4397889418701248</v>
      </c>
      <c r="AQ38" s="104">
        <f>'aij-UNIFAC (LLE)'!$D24*(1-LN(Y38)-AK38)</f>
        <v>0.88568701830620877</v>
      </c>
      <c r="AR38" s="105">
        <f>'aij-UNIFAC (LLE)'!$D24*(1-LN(Z38)-AL38)</f>
        <v>0.4324147862304456</v>
      </c>
      <c r="AS38" s="5"/>
      <c r="AT38" s="5"/>
    </row>
    <row r="39" spans="1:46">
      <c r="A39" s="35" t="str">
        <f>'aij-UNIFAC (LLE)'!B25</f>
        <v>CHCL2</v>
      </c>
      <c r="B39" s="57"/>
      <c r="C39" s="57"/>
      <c r="D39" s="57"/>
      <c r="E39" s="57"/>
      <c r="F39" s="57"/>
      <c r="G39" s="83">
        <f t="array" ref="G39">SUM(B39:F39*$B$22:$F$22)</f>
        <v>0</v>
      </c>
      <c r="H39" s="36" t="str">
        <f t="shared" si="0"/>
        <v>CHCL2</v>
      </c>
      <c r="I39" s="95">
        <f t="shared" si="4"/>
        <v>0</v>
      </c>
      <c r="J39" s="96">
        <f t="shared" si="4"/>
        <v>0</v>
      </c>
      <c r="K39" s="96">
        <f t="shared" si="4"/>
        <v>0</v>
      </c>
      <c r="L39" s="96">
        <f t="shared" si="4"/>
        <v>0</v>
      </c>
      <c r="M39" s="96">
        <f t="shared" si="4"/>
        <v>0</v>
      </c>
      <c r="N39" s="97">
        <f t="shared" si="5"/>
        <v>0</v>
      </c>
      <c r="O39" s="95">
        <f>I39*'aij-UNIFAC (LLE)'!$D25/I$42</f>
        <v>0</v>
      </c>
      <c r="P39" s="96">
        <f>J39*'aij-UNIFAC (LLE)'!$D25/J$42</f>
        <v>0</v>
      </c>
      <c r="Q39" s="96">
        <f>K39*'aij-UNIFAC (LLE)'!$D25/K$42</f>
        <v>0</v>
      </c>
      <c r="R39" s="96">
        <f>L39*'aij-UNIFAC (LLE)'!$D25/L$42</f>
        <v>0</v>
      </c>
      <c r="S39" s="96">
        <f>M39*'aij-UNIFAC (LLE)'!$D25/M$42</f>
        <v>0</v>
      </c>
      <c r="T39" s="98">
        <f>N39*'aij-UNIFAC (LLE)'!$D25/N$42</f>
        <v>0</v>
      </c>
      <c r="U39" s="95">
        <v>1</v>
      </c>
      <c r="V39" s="96">
        <v>2.6126716919730422</v>
      </c>
      <c r="W39" s="96">
        <v>1.1226874140973466</v>
      </c>
      <c r="X39" s="99">
        <v>1.415629433523935</v>
      </c>
      <c r="Y39" s="99">
        <v>0.94243781851808239</v>
      </c>
      <c r="Z39" s="100">
        <v>2.4106402255442965</v>
      </c>
      <c r="AA39" s="101">
        <f t="shared" si="3"/>
        <v>0</v>
      </c>
      <c r="AB39" s="102">
        <f t="shared" si="3"/>
        <v>0</v>
      </c>
      <c r="AC39" s="102">
        <f t="shared" si="3"/>
        <v>0</v>
      </c>
      <c r="AD39" s="102">
        <f t="shared" si="3"/>
        <v>0</v>
      </c>
      <c r="AE39" s="102">
        <f t="shared" si="3"/>
        <v>0</v>
      </c>
      <c r="AF39" s="97">
        <f t="shared" si="3"/>
        <v>0</v>
      </c>
      <c r="AG39" s="95">
        <v>1</v>
      </c>
      <c r="AH39" s="99">
        <v>0.51636815801581604</v>
      </c>
      <c r="AI39" s="99">
        <v>0.9993893234078739</v>
      </c>
      <c r="AJ39" s="99">
        <v>0.79950084704286728</v>
      </c>
      <c r="AK39" s="99">
        <v>1.062854011111166</v>
      </c>
      <c r="AL39" s="100">
        <v>0.57416004936656839</v>
      </c>
      <c r="AM39" s="103">
        <f>'aij-UNIFAC (LLE)'!$D25*(1-LN(U39)-AG39)</f>
        <v>0</v>
      </c>
      <c r="AN39" s="104">
        <f>'aij-UNIFAC (LLE)'!$D25*(1-LN(V39)-AH39)</f>
        <v>-0.80283267347581888</v>
      </c>
      <c r="AO39" s="104">
        <f>'aij-UNIFAC (LLE)'!$D25*(1-LN(W39)-AI39)</f>
        <v>-0.1938530056642746</v>
      </c>
      <c r="AP39" s="104">
        <f>'aij-UNIFAC (LLE)'!$D25*(1-LN(X39)-AJ39)</f>
        <v>-0.24767448284259391</v>
      </c>
      <c r="AQ39" s="104">
        <f>'aij-UNIFAC (LLE)'!$D25*(1-LN(Y39)-AK39)</f>
        <v>-6.0096473993090415E-3</v>
      </c>
      <c r="AR39" s="105">
        <f>'aij-UNIFAC (LLE)'!$D25*(1-LN(Z39)-AL39)</f>
        <v>-0.76462426743633538</v>
      </c>
      <c r="AS39" s="5"/>
      <c r="AT39" s="5"/>
    </row>
    <row r="40" spans="1:46">
      <c r="A40" s="35" t="str">
        <f>'aij-UNIFAC (LLE)'!B26</f>
        <v>CCL3</v>
      </c>
      <c r="B40" s="57"/>
      <c r="C40" s="57"/>
      <c r="D40" s="57">
        <v>1</v>
      </c>
      <c r="E40" s="57"/>
      <c r="F40" s="57"/>
      <c r="G40" s="83">
        <f t="array" ref="G40">SUM(B40:F40*$B$22:$F$22)</f>
        <v>9.9999999999999995E-21</v>
      </c>
      <c r="H40" s="36" t="str">
        <f t="shared" si="0"/>
        <v>CCL3</v>
      </c>
      <c r="I40" s="95">
        <f t="shared" si="4"/>
        <v>0</v>
      </c>
      <c r="J40" s="96">
        <f t="shared" si="4"/>
        <v>0</v>
      </c>
      <c r="K40" s="96">
        <f t="shared" si="4"/>
        <v>0.5</v>
      </c>
      <c r="L40" s="96">
        <f t="shared" si="4"/>
        <v>0</v>
      </c>
      <c r="M40" s="96">
        <f t="shared" si="4"/>
        <v>0</v>
      </c>
      <c r="N40" s="97">
        <f t="shared" si="5"/>
        <v>3.8197097020626422E-21</v>
      </c>
      <c r="O40" s="95">
        <f>I40*'aij-UNIFAC (LLE)'!$D26/I$42</f>
        <v>0</v>
      </c>
      <c r="P40" s="96">
        <f>J40*'aij-UNIFAC (LLE)'!$D26/J$42</f>
        <v>0</v>
      </c>
      <c r="Q40" s="96">
        <f>K40*'aij-UNIFAC (LLE)'!$D26/K$42</f>
        <v>0.90547263681592027</v>
      </c>
      <c r="R40" s="96">
        <f>L40*'aij-UNIFAC (LLE)'!$D26/L$42</f>
        <v>0</v>
      </c>
      <c r="S40" s="96">
        <f>M40*'aij-UNIFAC (LLE)'!$D26/M$42</f>
        <v>0</v>
      </c>
      <c r="T40" s="98">
        <f>N40*'aij-UNIFAC (LLE)'!$D26/N$42</f>
        <v>8.860299367770579E-21</v>
      </c>
      <c r="U40" s="95">
        <v>2.2057389907334417</v>
      </c>
      <c r="V40" s="96">
        <v>0.96526118341029254</v>
      </c>
      <c r="W40" s="96">
        <v>0.99761226997562313</v>
      </c>
      <c r="X40" s="99">
        <v>1.0948207787602144</v>
      </c>
      <c r="Y40" s="99">
        <v>0.9001833751108701</v>
      </c>
      <c r="Z40" s="100">
        <v>1.1206651331002586</v>
      </c>
      <c r="AA40" s="101">
        <f t="shared" ref="AA40:AF41" si="6">O40/U40</f>
        <v>0</v>
      </c>
      <c r="AB40" s="102">
        <f t="shared" si="6"/>
        <v>0</v>
      </c>
      <c r="AC40" s="102">
        <f t="shared" si="6"/>
        <v>0.90763983570294871</v>
      </c>
      <c r="AD40" s="102">
        <f t="shared" si="6"/>
        <v>0</v>
      </c>
      <c r="AE40" s="102">
        <f t="shared" si="6"/>
        <v>0</v>
      </c>
      <c r="AF40" s="97">
        <f t="shared" si="6"/>
        <v>7.9062862813078221E-21</v>
      </c>
      <c r="AG40" s="95">
        <v>0.37376134007261957</v>
      </c>
      <c r="AH40" s="99">
        <v>15.401868721135099</v>
      </c>
      <c r="AI40" s="99">
        <v>1.0015008165314143</v>
      </c>
      <c r="AJ40" s="99">
        <v>0.93809811718185665</v>
      </c>
      <c r="AK40" s="99">
        <v>1.1242286915568096</v>
      </c>
      <c r="AL40" s="100">
        <v>15.01352655925127</v>
      </c>
      <c r="AM40" s="103">
        <f>'aij-UNIFAC (LLE)'!$D26*(1-LN(U40)-AG40)</f>
        <v>-0.35997547625296911</v>
      </c>
      <c r="AN40" s="104">
        <f>'aij-UNIFAC (LLE)'!$D26*(1-LN(V40)-AH40)</f>
        <v>-31.376462564548572</v>
      </c>
      <c r="AO40" s="104">
        <f>'aij-UNIFAC (LLE)'!$D26*(1-LN(W40)-AI40)</f>
        <v>1.9432547668157911E-3</v>
      </c>
      <c r="AP40" s="104">
        <f>'aij-UNIFAC (LLE)'!$D26*(1-LN(X40)-AJ40)</f>
        <v>-6.2656327601729622E-2</v>
      </c>
      <c r="AQ40" s="104">
        <f>'aij-UNIFAC (LLE)'!$D26*(1-LN(Y40)-AK40)</f>
        <v>-4.1653041105170305E-2</v>
      </c>
      <c r="AR40" s="105">
        <f>'aij-UNIFAC (LLE)'!$D26*(1-LN(Z40)-AL40)</f>
        <v>-30.854348478686408</v>
      </c>
      <c r="AS40" s="5"/>
      <c r="AT40" s="5"/>
    </row>
    <row r="41" spans="1:46">
      <c r="A41" s="35" t="str">
        <f>'aij-UNIFAC (LLE)'!B27</f>
        <v>ACNH2</v>
      </c>
      <c r="B41" s="57"/>
      <c r="C41" s="57"/>
      <c r="D41" s="57"/>
      <c r="E41" s="57"/>
      <c r="F41" s="57"/>
      <c r="G41" s="83">
        <f t="array" ref="G41">SUM(B41:F41*$B$22:$F$22)</f>
        <v>0</v>
      </c>
      <c r="H41" s="36" t="str">
        <f t="shared" si="0"/>
        <v>ACNH2</v>
      </c>
      <c r="I41" s="107">
        <f t="shared" si="4"/>
        <v>0</v>
      </c>
      <c r="J41" s="108">
        <f t="shared" si="4"/>
        <v>0</v>
      </c>
      <c r="K41" s="108">
        <f t="shared" si="4"/>
        <v>0</v>
      </c>
      <c r="L41" s="108">
        <f t="shared" si="4"/>
        <v>0</v>
      </c>
      <c r="M41" s="108">
        <f t="shared" si="4"/>
        <v>0</v>
      </c>
      <c r="N41" s="109">
        <f t="shared" si="5"/>
        <v>0</v>
      </c>
      <c r="O41" s="107">
        <f>I41*'aij-UNIFAC (LLE)'!$D27/I$42</f>
        <v>0</v>
      </c>
      <c r="P41" s="108">
        <f>J41*'aij-UNIFAC (LLE)'!$D27/J$42</f>
        <v>0</v>
      </c>
      <c r="Q41" s="108">
        <f>K41*'aij-UNIFAC (LLE)'!$D27/K$42</f>
        <v>0</v>
      </c>
      <c r="R41" s="108">
        <f>L41*'aij-UNIFAC (LLE)'!$D27/L$42</f>
        <v>0</v>
      </c>
      <c r="S41" s="108">
        <f>M41*'aij-UNIFAC (LLE)'!$D27/M$42</f>
        <v>0</v>
      </c>
      <c r="T41" s="110">
        <f>N41*'aij-UNIFAC (LLE)'!$D27/N$42</f>
        <v>0</v>
      </c>
      <c r="U41" s="107">
        <v>0.99442121395163907</v>
      </c>
      <c r="V41" s="108">
        <v>3.7039926287750644E-2</v>
      </c>
      <c r="W41" s="108">
        <v>1.1758128032209367</v>
      </c>
      <c r="X41" s="111">
        <v>1.5454890084835269</v>
      </c>
      <c r="Y41" s="111">
        <v>4.2598226470198244E-2</v>
      </c>
      <c r="Z41" s="112">
        <v>0.15697825374827232</v>
      </c>
      <c r="AA41" s="113">
        <f t="shared" si="6"/>
        <v>0</v>
      </c>
      <c r="AB41" s="114">
        <f t="shared" si="6"/>
        <v>0</v>
      </c>
      <c r="AC41" s="114">
        <f t="shared" si="6"/>
        <v>0</v>
      </c>
      <c r="AD41" s="114">
        <f t="shared" si="6"/>
        <v>0</v>
      </c>
      <c r="AE41" s="114">
        <f t="shared" si="6"/>
        <v>0</v>
      </c>
      <c r="AF41" s="109">
        <f t="shared" si="6"/>
        <v>0</v>
      </c>
      <c r="AG41" s="107">
        <v>2.1100606643178348</v>
      </c>
      <c r="AH41" s="111">
        <v>0.27705236292618396</v>
      </c>
      <c r="AI41" s="111">
        <v>1.9536621056797756</v>
      </c>
      <c r="AJ41" s="111">
        <v>0.57399026505164041</v>
      </c>
      <c r="AK41" s="111">
        <v>0.61531213397424811</v>
      </c>
      <c r="AL41" s="112">
        <v>0.45549743198798093</v>
      </c>
      <c r="AM41" s="115">
        <f>'aij-UNIFAC (LLE)'!$D27*(1-LN(U41)-AG41)</f>
        <v>-0.90124446711831829</v>
      </c>
      <c r="AN41" s="116">
        <f>'aij-UNIFAC (LLE)'!$D27*(1-LN(V41)-AH41)</f>
        <v>3.279264501022809</v>
      </c>
      <c r="AO41" s="116">
        <f>'aij-UNIFAC (LLE)'!$D27*(1-LN(W41)-AI41)</f>
        <v>-0.9103473574256189</v>
      </c>
      <c r="AP41" s="116">
        <f>'aij-UNIFAC (LLE)'!$D27*(1-LN(X41)-AJ41)</f>
        <v>-7.6137987049585115E-3</v>
      </c>
      <c r="AQ41" s="116">
        <f>'aij-UNIFAC (LLE)'!$D27*(1-LN(Y41)-AK41)</f>
        <v>2.8891545081994083</v>
      </c>
      <c r="AR41" s="117">
        <f>'aij-UNIFAC (LLE)'!$D27*(1-LN(Z41)-AL41)</f>
        <v>1.9552588589158748</v>
      </c>
      <c r="AS41" s="5"/>
      <c r="AT41" s="5"/>
    </row>
    <row r="42" spans="1:46">
      <c r="A42" s="82" t="s">
        <v>141</v>
      </c>
      <c r="B42" s="83">
        <f>B22*SUM(B24:B41)</f>
        <v>0.77200000000000002</v>
      </c>
      <c r="C42" s="83">
        <f>C22*SUM(C24:C41)</f>
        <v>1.8460000000000001</v>
      </c>
      <c r="D42" s="83">
        <f>D22*SUM(D24:D41)</f>
        <v>1.9999999999999999E-20</v>
      </c>
      <c r="E42" s="83">
        <f>E22*SUM(E24:E41)</f>
        <v>2.9999999999999997E-20</v>
      </c>
      <c r="F42" s="83">
        <f>F22*SUM(F24:F41)</f>
        <v>1.9999999999999999E-20</v>
      </c>
      <c r="G42" s="83">
        <f>SUM(B42:F42)</f>
        <v>2.6180000000000003</v>
      </c>
      <c r="H42" s="118" t="s">
        <v>142</v>
      </c>
      <c r="I42" s="36">
        <f t="array" ref="I42">SUM(I24:I41*_QL)</f>
        <v>0.4</v>
      </c>
      <c r="J42" s="36">
        <f t="array" ref="J42">SUM(J24:J41*_QL)</f>
        <v>1.1679999999999999</v>
      </c>
      <c r="K42" s="36">
        <f t="array" ref="K42">SUM(K24:K41*_QL)</f>
        <v>1.2060000000000002</v>
      </c>
      <c r="L42" s="36">
        <f t="array" ref="L42">SUM(L24:L41*_QL)</f>
        <v>0.86266666666666658</v>
      </c>
      <c r="M42" s="36">
        <f t="array" ref="M42">SUM(M24:M41*_QL)</f>
        <v>1.036</v>
      </c>
      <c r="N42" s="36">
        <f t="array" ref="N42">SUM(N24:N41*_QL)</f>
        <v>0.94153093964858658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 t="s">
        <v>143</v>
      </c>
      <c r="B43" s="119">
        <f>SUM(B24:B41)</f>
        <v>10</v>
      </c>
      <c r="C43" s="119">
        <f>SUM(C24:C41)</f>
        <v>2</v>
      </c>
      <c r="D43" s="119">
        <f>SUM(D24:D41)</f>
        <v>2</v>
      </c>
      <c r="E43" s="119">
        <f>SUM(E24:E41)</f>
        <v>3</v>
      </c>
      <c r="F43" s="119">
        <f>SUM(F24:F41)</f>
        <v>2</v>
      </c>
      <c r="G43" s="120"/>
      <c r="H43" s="3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35"/>
      <c r="B44" s="119"/>
      <c r="C44" s="119"/>
      <c r="D44" s="119"/>
      <c r="E44" s="119"/>
      <c r="F44" s="119"/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72" t="s">
        <v>44</v>
      </c>
      <c r="B45" s="58">
        <f t="array" ref="B45">SUM(B24:B41*_QL)</f>
        <v>4</v>
      </c>
      <c r="C45" s="58">
        <f t="array" ref="C45">SUM(C24:C41*_QL)</f>
        <v>2.3359999999999999</v>
      </c>
      <c r="D45" s="58">
        <f t="array" ref="D45">SUM(D24:D41*_QL)</f>
        <v>2.4120000000000004</v>
      </c>
      <c r="E45" s="58">
        <f t="array" ref="E45">SUM(E24:E41*_QL)</f>
        <v>2.5880000000000001</v>
      </c>
      <c r="F45" s="58">
        <f t="array" ref="F45">SUM(F24:F41*_QL)</f>
        <v>2.0720000000000001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35" t="s">
        <v>43</v>
      </c>
      <c r="B46" s="58">
        <f t="array" ref="B46">SUM(B24:B41*_RL)</f>
        <v>5.3129999999999997</v>
      </c>
      <c r="C46" s="58">
        <f t="array" ref="C46">SUM(C24:C41*_RL)</f>
        <v>2.5735000000000001</v>
      </c>
      <c r="D46" s="58">
        <f t="array" ref="D46">SUM(D24:D41*_RL)</f>
        <v>3.0869999999999997</v>
      </c>
      <c r="E46" s="58">
        <f t="array" ref="E46">SUM(E24:E41*_RL)</f>
        <v>2.5754999999999999</v>
      </c>
      <c r="F46" s="58">
        <f t="array" ref="F46">SUM(F24:F41*_RL)</f>
        <v>2.2023999999999999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144</v>
      </c>
      <c r="B47" s="58">
        <f>B22*B45/SUMPRODUCT($B45:$F45,$B22:$F22)</f>
        <v>0.12527749289228732</v>
      </c>
      <c r="C47" s="58">
        <f>C22*C45/SUMPRODUCT($B45:$F45,$B22:$F22)</f>
        <v>0.8747225071077126</v>
      </c>
      <c r="D47" s="58">
        <f>D22*D45/SUMPRODUCT($B45:$F45,$B22:$F22)</f>
        <v>9.7852756753949813E-21</v>
      </c>
      <c r="E47" s="58">
        <f>E22*E45/SUMPRODUCT($B45:$F45,$B22:$F22)</f>
        <v>1.0499292474262938E-20</v>
      </c>
      <c r="F47" s="58">
        <f>F22*F45/SUMPRODUCT($B45:$F45,$B22:$F22)</f>
        <v>8.4059250412182419E-21</v>
      </c>
      <c r="G47" s="12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82" t="s">
        <v>145</v>
      </c>
      <c r="B48" s="58">
        <f>B22*B46/SUMPRODUCT($B46:$F46,$B22:$F22)</f>
        <v>0.14724932553500819</v>
      </c>
      <c r="C48" s="58">
        <f>C22*C46/SUMPRODUCT($B46:$F46,$B22:$F22)</f>
        <v>0.85275067446499175</v>
      </c>
      <c r="D48" s="58">
        <f>D22*D46/SUMPRODUCT($B46:$F46,$B22:$F22)</f>
        <v>1.1082374640913288E-20</v>
      </c>
      <c r="E48" s="58">
        <f>E22*E46/SUMPRODUCT($B46:$F46,$B22:$F22)</f>
        <v>9.2460822441438854E-21</v>
      </c>
      <c r="F48" s="58">
        <f>F22*F46/SUMPRODUCT($B46:$F46,$B22:$F22)</f>
        <v>7.9066478487681977E-21</v>
      </c>
      <c r="G48" s="1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 s="5"/>
      <c r="AT48" s="5"/>
    </row>
    <row r="49" spans="1:9">
      <c r="A49" s="72" t="s">
        <v>146</v>
      </c>
      <c r="B49" s="58">
        <f>LN(B48/B22)+(1-B48/B22)-5*B45*(LN(B48/B47)+(1-B48/B47))</f>
        <v>1.413897413319698E-2</v>
      </c>
      <c r="C49" s="58">
        <f>LN(C48/C22)+(1-C48/C22)-5*C45*(LN(C48/C47)+(1-C48/C47))</f>
        <v>6.9536864803195104E-4</v>
      </c>
      <c r="D49" s="58">
        <f>LN(D48/D22)+(1-D48/D22)-5*D45*(LN(D48/D47)+(1-D48/D47))</f>
        <v>9.1966137387321775E-2</v>
      </c>
      <c r="E49" s="58">
        <f>LN(E48/E22)+(1-E48/E22)-5*E45*(LN(E48/E47)+(1-E48/E47))</f>
        <v>9.724699426961303E-2</v>
      </c>
      <c r="F49" s="58">
        <f>LN(F48/F22)+(1-F48/F22)-5*F45*(LN(F48/F47)+(1-F48/F47))</f>
        <v>-6.5141512302931935E-3</v>
      </c>
      <c r="G49" s="121"/>
      <c r="I49" s="122"/>
    </row>
    <row r="50" spans="1:9">
      <c r="A50" s="72" t="s">
        <v>147</v>
      </c>
      <c r="B50" s="58">
        <f t="array" ref="B50">SUM(B24:B36*AM24:AM36)</f>
        <v>0</v>
      </c>
      <c r="C50" s="58">
        <f t="array" ref="C50">SUM(C24:C36*AN24:AN36)</f>
        <v>0.62839316806250023</v>
      </c>
      <c r="D50" s="58">
        <f t="array" ref="D50">SUM(D24:D36*AO24:AO36)</f>
        <v>1.8176596701961752E-2</v>
      </c>
      <c r="E50" s="58">
        <f t="array" ref="E50">SUM(E24:E36*AP24:AP36)</f>
        <v>1.2971332369839292</v>
      </c>
      <c r="F50" s="58">
        <f t="array" ref="F50">SUM(F24:F36*AQ24:AQ36)</f>
        <v>0.96038290057618036</v>
      </c>
      <c r="G50" s="121"/>
    </row>
    <row r="51" spans="1:9">
      <c r="A51" s="72" t="s">
        <v>148</v>
      </c>
      <c r="B51" s="58">
        <f t="array" ref="B51">SUM(B24:B36*$AR24:$AR36)</f>
        <v>1.1485165891216838</v>
      </c>
      <c r="C51" s="58">
        <f t="array" ref="C51">SUM(C24:C36*$AR24:$AR36)</f>
        <v>0.63418934262292614</v>
      </c>
      <c r="D51" s="58">
        <f t="array" ref="D51">SUM(D24:D36*$AR24:$AR36)</f>
        <v>0.11069050066047673</v>
      </c>
      <c r="E51" s="58">
        <f t="array" ref="E51">SUM(E24:E36*$AR24:$AR36)</f>
        <v>2.1655624853498465</v>
      </c>
      <c r="F51" s="58">
        <f t="array" ref="F51">SUM(F24:F36*$AR24:$AR36)</f>
        <v>1.82488918067205</v>
      </c>
    </row>
  </sheetData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1">
    <pageSetUpPr fitToPage="1"/>
  </sheetPr>
  <dimension ref="A1:AV50"/>
  <sheetViews>
    <sheetView showGridLines="0" zoomScale="150" zoomScaleNormal="150" zoomScalePageLayoutView="150" workbookViewId="0">
      <selection activeCell="AY26" sqref="AY26"/>
    </sheetView>
  </sheetViews>
  <sheetFormatPr baseColWidth="10" defaultColWidth="9.1640625" defaultRowHeight="16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6.66406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6">
      <c r="A1" s="144" t="s">
        <v>301</v>
      </c>
      <c r="B1" s="144"/>
      <c r="C1" s="144"/>
    </row>
    <row r="2" spans="1:46">
      <c r="A2" s="144" t="s">
        <v>300</v>
      </c>
      <c r="B2" s="144"/>
      <c r="C2" s="144"/>
    </row>
    <row r="3" spans="1:46">
      <c r="A3" s="144" t="s">
        <v>298</v>
      </c>
      <c r="B3" s="144"/>
      <c r="C3" s="144"/>
    </row>
    <row r="4" spans="1:46">
      <c r="A4" s="144" t="s">
        <v>299</v>
      </c>
      <c r="B4" s="144"/>
      <c r="C4" s="144"/>
    </row>
    <row r="5" spans="1:46">
      <c r="A5" s="144"/>
      <c r="B5" s="144"/>
      <c r="C5" s="144"/>
    </row>
    <row r="6" spans="1:46">
      <c r="A6" s="144"/>
      <c r="B6" s="144"/>
      <c r="C6" s="144"/>
    </row>
    <row r="7" spans="1:46">
      <c r="A7" s="144"/>
      <c r="B7" s="144"/>
      <c r="C7" s="144"/>
    </row>
    <row r="8" spans="1:46" s="33" customFormat="1">
      <c r="A8" s="144"/>
      <c r="B8" s="144"/>
      <c r="C8" s="144"/>
      <c r="D8" s="46" t="s">
        <v>111</v>
      </c>
      <c r="E8" s="47" t="s">
        <v>112</v>
      </c>
      <c r="F8" s="47"/>
      <c r="G8" s="49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AD8" s="34"/>
      <c r="AI8" s="34"/>
      <c r="AN8"/>
      <c r="AS8" s="52"/>
    </row>
    <row r="9" spans="1:46">
      <c r="A9" s="144" t="s">
        <v>113</v>
      </c>
      <c r="B9" s="144">
        <f t="array" ref="B9">SUM(B21:F21*B22:F22*B16:F16)</f>
        <v>1.5527578599777185</v>
      </c>
      <c r="C9" s="144" t="s">
        <v>114</v>
      </c>
      <c r="D9" s="48" t="s">
        <v>115</v>
      </c>
      <c r="E9" s="49"/>
      <c r="F9" s="49"/>
      <c r="G9" s="49"/>
      <c r="X9" s="35"/>
      <c r="AN9"/>
      <c r="AS9" s="188" t="s">
        <v>116</v>
      </c>
    </row>
    <row r="10" spans="1:46">
      <c r="A10" s="144" t="s">
        <v>176</v>
      </c>
      <c r="B10" s="192">
        <f>'UNIFAC (LLEa)'!TC.</f>
        <v>20</v>
      </c>
      <c r="C10" s="146" t="s">
        <v>117</v>
      </c>
      <c r="D10" s="50" t="s">
        <v>118</v>
      </c>
      <c r="E10" s="51"/>
      <c r="F10" s="51"/>
      <c r="G10" s="4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7"/>
      <c r="AD10" s="37"/>
      <c r="AI10" s="37"/>
      <c r="AN10"/>
      <c r="AS10" s="189"/>
    </row>
    <row r="11" spans="1:46" s="33" customFormat="1">
      <c r="A11" s="144" t="s">
        <v>119</v>
      </c>
      <c r="B11" s="144"/>
      <c r="C11" s="144"/>
      <c r="D11" s="32"/>
      <c r="E11" s="32"/>
      <c r="F11" s="32"/>
      <c r="G11" s="32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AD11" s="34"/>
      <c r="AI11" s="34"/>
      <c r="AS11" s="5"/>
    </row>
    <row r="12" spans="1:46" s="72" customFormat="1" ht="11">
      <c r="B12" s="36" t="s">
        <v>120</v>
      </c>
      <c r="C12" s="36" t="s">
        <v>121</v>
      </c>
      <c r="D12" s="36" t="s">
        <v>122</v>
      </c>
      <c r="E12" s="36" t="s">
        <v>123</v>
      </c>
      <c r="F12" s="36" t="s">
        <v>124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AS12" s="35"/>
      <c r="AT12" s="35"/>
    </row>
    <row r="13" spans="1:46" s="72" customFormat="1" ht="11">
      <c r="A13" s="35" t="s">
        <v>125</v>
      </c>
      <c r="B13" s="193">
        <f>'UNIFAC (LLEa)'!B14</f>
        <v>6.47682</v>
      </c>
      <c r="C13" s="193">
        <f>'UNIFAC (LLEa)'!C14</f>
        <v>0</v>
      </c>
      <c r="D13" s="193">
        <f>'UNIFAC (LLEa)'!D14</f>
        <v>8.0713100000000004</v>
      </c>
      <c r="E13" s="193">
        <f>'UNIFAC (LLEa)'!E14</f>
        <v>0</v>
      </c>
      <c r="F13" s="193">
        <f>'UNIFAC (LLEa)'!F14</f>
        <v>0</v>
      </c>
      <c r="G13" s="7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AD13" s="36"/>
      <c r="AI13" s="36"/>
      <c r="AS13" s="35"/>
      <c r="AT13" s="35"/>
    </row>
    <row r="14" spans="1:46" s="72" customFormat="1" ht="11">
      <c r="A14" s="35" t="s">
        <v>126</v>
      </c>
      <c r="B14" s="193">
        <f>'UNIFAC (LLEa)'!B15</f>
        <v>2603.3589999999999</v>
      </c>
      <c r="C14" s="193">
        <f>'UNIFAC (LLEa)'!C15</f>
        <v>0</v>
      </c>
      <c r="D14" s="193">
        <f>'UNIFAC (LLEa)'!D15</f>
        <v>1730.63</v>
      </c>
      <c r="E14" s="193">
        <f>'UNIFAC (LLEa)'!E15</f>
        <v>0</v>
      </c>
      <c r="F14" s="193">
        <f>'UNIFAC (LLEa)'!F15</f>
        <v>0</v>
      </c>
      <c r="G14" s="7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82" t="s">
        <v>237</v>
      </c>
    </row>
    <row r="15" spans="1:46" s="72" customFormat="1" ht="11">
      <c r="A15" s="35" t="s">
        <v>127</v>
      </c>
      <c r="B15" s="193">
        <f>'UNIFAC (LLEa)'!B16</f>
        <v>321.94900000000001</v>
      </c>
      <c r="C15" s="193">
        <f>'UNIFAC (LLEa)'!C16</f>
        <v>0</v>
      </c>
      <c r="D15" s="193">
        <f>'UNIFAC (LLEa)'!D16</f>
        <v>233.42599999999999</v>
      </c>
      <c r="E15" s="193">
        <f>'UNIFAC (LLEa)'!E16</f>
        <v>0</v>
      </c>
      <c r="F15" s="193">
        <f>'UNIFAC (LLEa)'!F16</f>
        <v>0</v>
      </c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/>
    </row>
    <row r="16" spans="1:46" s="35" customFormat="1" ht="13">
      <c r="A16" s="35" t="s">
        <v>128</v>
      </c>
      <c r="B16" s="193">
        <f>'UNIFAC (LLEa)'!B17</f>
        <v>7.303379450423074E-2</v>
      </c>
      <c r="C16" s="193">
        <f>'UNIFAC (LLEa)'!C17</f>
        <v>1</v>
      </c>
      <c r="D16" s="193">
        <f>'UNIFAC (LLEa)'!D17</f>
        <v>17.47325208459706</v>
      </c>
      <c r="E16" s="193">
        <f>'UNIFAC (LLEa)'!E17</f>
        <v>1</v>
      </c>
      <c r="F16" s="193">
        <f>'UNIFAC (LLEa)'!F17</f>
        <v>1</v>
      </c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</row>
    <row r="17" spans="1:48" s="35" customFormat="1" ht="11">
      <c r="A17" s="35" t="s">
        <v>129</v>
      </c>
      <c r="B17" s="194">
        <f>'UNIFAC (LLEa)'!B18</f>
        <v>1.9041697682979402E-2</v>
      </c>
      <c r="C17" s="194">
        <f>'UNIFAC (LLEa)'!C18</f>
        <v>0.98095830231702064</v>
      </c>
      <c r="D17" s="194">
        <f>'UNIFAC (LLEa)'!D18</f>
        <v>2.2188196900870121E-19</v>
      </c>
      <c r="E17" s="194">
        <f>'UNIFAC (LLEa)'!E18</f>
        <v>2.7734316556717937E-20</v>
      </c>
      <c r="F17" s="194">
        <f>'UNIFAC (LLEa)'!F18</f>
        <v>2.4902953167111811E-20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8" s="35" customFormat="1" ht="11">
      <c r="B18" s="76"/>
      <c r="C18" s="76"/>
      <c r="D18" s="75"/>
      <c r="E18" s="75"/>
      <c r="F18" s="75"/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</row>
    <row r="19" spans="1:48" s="35" customFormat="1" ht="11">
      <c r="B19" s="36" t="s">
        <v>120</v>
      </c>
      <c r="C19" s="36" t="s">
        <v>121</v>
      </c>
      <c r="D19" s="36" t="s">
        <v>122</v>
      </c>
      <c r="E19" s="36" t="s">
        <v>123</v>
      </c>
      <c r="F19" s="36" t="s">
        <v>124</v>
      </c>
      <c r="G19" s="36"/>
      <c r="H19" s="36"/>
      <c r="I19" s="77"/>
      <c r="J19" s="77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48" s="72" customFormat="1" ht="13">
      <c r="A20" s="35"/>
      <c r="B20" s="261" t="str">
        <f>'UNIFAC (LLEa)'!B21</f>
        <v>phenanthrene</v>
      </c>
      <c r="C20" s="261" t="str">
        <f>'UNIFAC (LLEa)'!C21</f>
        <v>acetone</v>
      </c>
      <c r="D20" s="261" t="str">
        <f>'UNIFAC (LLEa)'!D21</f>
        <v>Chloroform</v>
      </c>
      <c r="E20" s="262" t="str">
        <f>'UNIFAC (LLEa)'!E21</f>
        <v>ethanol</v>
      </c>
      <c r="F20" s="261" t="str">
        <f>'UNIFAC (LLEa)'!F21</f>
        <v>Acetic Acid</v>
      </c>
      <c r="G20" s="7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137"/>
      <c r="AT20" s="35"/>
    </row>
    <row r="21" spans="1:48" s="72" customFormat="1" ht="15">
      <c r="A21" s="72" t="s">
        <v>83</v>
      </c>
      <c r="B21" s="55">
        <v>0.77291631056509436</v>
      </c>
      <c r="C21" s="55">
        <v>0.13900001042726937</v>
      </c>
      <c r="D21" s="55">
        <v>8.8083679007636306E-2</v>
      </c>
      <c r="E21" s="55">
        <v>9.9999999999999995E-21</v>
      </c>
      <c r="F21" s="55">
        <v>9.9999999999999995E-21</v>
      </c>
      <c r="G21" s="79"/>
      <c r="H21" s="36"/>
      <c r="I21"/>
      <c r="J21"/>
      <c r="K21" s="36" t="s">
        <v>132</v>
      </c>
      <c r="L21" s="36"/>
      <c r="M21"/>
      <c r="N21"/>
      <c r="O21"/>
      <c r="P21"/>
      <c r="Q21" s="80" t="s">
        <v>133</v>
      </c>
      <c r="R21" s="36"/>
      <c r="S21" s="36"/>
      <c r="T21" s="36"/>
      <c r="U21"/>
      <c r="V21" s="35"/>
      <c r="W21" s="81" t="s">
        <v>134</v>
      </c>
      <c r="X21" s="36"/>
      <c r="Y21" s="35"/>
      <c r="Z21" s="35"/>
      <c r="AA21"/>
      <c r="AB21" s="36"/>
      <c r="AC21" s="81" t="s">
        <v>135</v>
      </c>
      <c r="AD21" s="35"/>
      <c r="AE21" s="35"/>
      <c r="AF21" s="35"/>
      <c r="AG21" s="36"/>
      <c r="AH21" s="36"/>
      <c r="AI21" s="81" t="s">
        <v>136</v>
      </c>
      <c r="AJ21" s="35"/>
      <c r="AK21" s="35"/>
      <c r="AM21"/>
      <c r="AO21" s="72" t="s">
        <v>137</v>
      </c>
      <c r="AS21" s="35"/>
      <c r="AT21" s="35"/>
    </row>
    <row r="22" spans="1:48" s="72" customFormat="1" ht="13">
      <c r="A22" s="82" t="s">
        <v>138</v>
      </c>
      <c r="B22" s="56">
        <f>EXP(B50-B49+B48)</f>
        <v>1.2049826165996012</v>
      </c>
      <c r="C22" s="56">
        <f>EXP(C50-C49+C48)</f>
        <v>0.37606895157195058</v>
      </c>
      <c r="D22" s="56">
        <f>EXP(D50-D49+D48)</f>
        <v>0.93071044377104584</v>
      </c>
      <c r="E22" s="56">
        <f>EXP(E50-E49+E48)</f>
        <v>5.4474846887002268</v>
      </c>
      <c r="F22" s="56">
        <f>EXP(F50-F49+F48)</f>
        <v>3.592949923426429</v>
      </c>
      <c r="G22" s="82" t="s">
        <v>139</v>
      </c>
      <c r="H22" s="36"/>
      <c r="I22" s="77">
        <v>1</v>
      </c>
      <c r="J22" s="77">
        <v>2</v>
      </c>
      <c r="K22" s="77">
        <v>3</v>
      </c>
      <c r="L22" s="36">
        <v>4</v>
      </c>
      <c r="M22" s="77">
        <v>5</v>
      </c>
      <c r="N22" s="77" t="s">
        <v>140</v>
      </c>
      <c r="O22" s="77">
        <v>1</v>
      </c>
      <c r="P22" s="77">
        <v>2</v>
      </c>
      <c r="Q22" s="77">
        <v>3</v>
      </c>
      <c r="R22" s="36">
        <v>4</v>
      </c>
      <c r="S22" s="77">
        <v>5</v>
      </c>
      <c r="T22" s="77" t="s">
        <v>140</v>
      </c>
      <c r="U22" s="77">
        <v>1</v>
      </c>
      <c r="V22" s="77">
        <v>2</v>
      </c>
      <c r="W22" s="77">
        <v>3</v>
      </c>
      <c r="X22" s="36">
        <v>4</v>
      </c>
      <c r="Y22" s="77">
        <v>5</v>
      </c>
      <c r="Z22" s="77" t="s">
        <v>140</v>
      </c>
      <c r="AA22" s="77">
        <v>1</v>
      </c>
      <c r="AB22" s="77">
        <v>2</v>
      </c>
      <c r="AC22" s="77">
        <v>3</v>
      </c>
      <c r="AD22" s="36">
        <v>4</v>
      </c>
      <c r="AE22" s="77">
        <v>5</v>
      </c>
      <c r="AF22" s="77" t="s">
        <v>140</v>
      </c>
      <c r="AG22" s="77">
        <v>1</v>
      </c>
      <c r="AH22" s="77">
        <v>2</v>
      </c>
      <c r="AI22" s="77">
        <v>3</v>
      </c>
      <c r="AJ22" s="36">
        <v>4</v>
      </c>
      <c r="AK22" s="77">
        <v>5</v>
      </c>
      <c r="AL22" s="77" t="s">
        <v>140</v>
      </c>
      <c r="AM22" s="77">
        <v>1</v>
      </c>
      <c r="AN22" s="77">
        <v>2</v>
      </c>
      <c r="AO22" s="77">
        <v>3</v>
      </c>
      <c r="AP22" s="36">
        <v>4</v>
      </c>
      <c r="AQ22" s="77">
        <v>5</v>
      </c>
      <c r="AR22" s="77" t="s">
        <v>140</v>
      </c>
      <c r="AS22" s="35"/>
      <c r="AT22" s="142"/>
    </row>
    <row r="23" spans="1:48" s="72" customFormat="1" ht="11">
      <c r="A23" s="35" t="str">
        <f>'aij-UNIFAC (LLE)'!B10</f>
        <v>CH3</v>
      </c>
      <c r="B23" s="193">
        <f>'UNIFAC (LLEa)'!B24</f>
        <v>0</v>
      </c>
      <c r="C23" s="193">
        <f>'UNIFAC (LLEa)'!C24</f>
        <v>1</v>
      </c>
      <c r="D23" s="193">
        <f>'UNIFAC (LLEa)'!D24</f>
        <v>0</v>
      </c>
      <c r="E23" s="193">
        <f>'UNIFAC (LLEa)'!E24</f>
        <v>1</v>
      </c>
      <c r="F23" s="193">
        <f>'UNIFAC (LLEa)'!F24</f>
        <v>1</v>
      </c>
      <c r="G23" s="83">
        <f t="array" ref="G23">SUM(B23:F23*$B$21:$F$21)</f>
        <v>0.13900001042726937</v>
      </c>
      <c r="H23" s="36" t="str">
        <f t="shared" ref="H23:H40" si="0">A23</f>
        <v>CH3</v>
      </c>
      <c r="I23" s="84">
        <f t="shared" ref="I23:I40" si="1">B23/B$42</f>
        <v>0</v>
      </c>
      <c r="J23" s="85">
        <f t="shared" ref="J23:J40" si="2">C23/C$42</f>
        <v>0.5</v>
      </c>
      <c r="K23" s="85">
        <f t="shared" ref="K23:K40" si="3">D23/D$42</f>
        <v>0</v>
      </c>
      <c r="L23" s="85">
        <f t="shared" ref="L23:L40" si="4">E23/E$42</f>
        <v>0.33333333333333331</v>
      </c>
      <c r="M23" s="85">
        <f t="shared" ref="M23:M40" si="5">F23/F$42</f>
        <v>0.5</v>
      </c>
      <c r="N23" s="86">
        <f t="shared" ref="N23:N40" si="6">G23/$G$41</f>
        <v>1.6985750568206427E-2</v>
      </c>
      <c r="O23" s="84">
        <f>I23*'aij-UNIFAC (LLE)'!$D10/I$41</f>
        <v>0</v>
      </c>
      <c r="P23" s="85">
        <f>J23*'aij-UNIFAC (LLE)'!$D10/J$41</f>
        <v>0.36301369863013699</v>
      </c>
      <c r="Q23" s="85">
        <f>K23*'aij-UNIFAC (LLE)'!$D10/K$41</f>
        <v>0</v>
      </c>
      <c r="R23" s="85">
        <f>L23*'aij-UNIFAC (LLE)'!$D10/L$41</f>
        <v>0.32766615146831529</v>
      </c>
      <c r="S23" s="85">
        <f>M23*'aij-UNIFAC (LLE)'!$D10/M$41</f>
        <v>0.40926640926640923</v>
      </c>
      <c r="T23" s="87">
        <f>N23*'aij-UNIFAC (LLE)'!$D10/N$41</f>
        <v>3.2482123171374611E-2</v>
      </c>
      <c r="U23" s="84">
        <f t="array" ref="U23:Z40">MMULT(TRANSPOSE(tauL),O23:T40)</f>
        <v>0.58633945198681447</v>
      </c>
      <c r="V23" s="88">
        <v>0.8706154330028707</v>
      </c>
      <c r="W23" s="85">
        <v>0.93674360062634787</v>
      </c>
      <c r="X23" s="85">
        <v>0.68767648751582533</v>
      </c>
      <c r="Y23" s="88">
        <v>0.41080704070929341</v>
      </c>
      <c r="Z23" s="89">
        <v>0.63229139646201282</v>
      </c>
      <c r="AA23" s="90">
        <f t="shared" ref="AA23:AA40" si="7">O23/U23</f>
        <v>0</v>
      </c>
      <c r="AB23" s="91">
        <f t="shared" ref="AB23:AB40" si="8">P23/V23</f>
        <v>0.41696216821938653</v>
      </c>
      <c r="AC23" s="91">
        <f t="shared" ref="AC23:AC40" si="9">Q23/W23</f>
        <v>0</v>
      </c>
      <c r="AD23" s="91">
        <f t="shared" ref="AD23:AD40" si="10">R23/X23</f>
        <v>0.47648299369952618</v>
      </c>
      <c r="AE23" s="91">
        <f t="shared" ref="AE23:AE40" si="11">S23/Y23</f>
        <v>0.99624974430763369</v>
      </c>
      <c r="AF23" s="86">
        <f t="shared" ref="AF23:AF40" si="12">T23/Z23</f>
        <v>5.1372078369448591E-2</v>
      </c>
      <c r="AG23" s="84">
        <f t="array" ref="AG23:AL40">MMULT(tauL,AA23:AF40)</f>
        <v>1.4793582688401357</v>
      </c>
      <c r="AH23" s="85">
        <v>0.59606319205288061</v>
      </c>
      <c r="AI23" s="88">
        <v>0.98562375743592667</v>
      </c>
      <c r="AJ23" s="88">
        <v>0.87821742922601154</v>
      </c>
      <c r="AK23" s="88">
        <v>1.4307172242399315</v>
      </c>
      <c r="AL23" s="89">
        <v>1.3536047232237549</v>
      </c>
      <c r="AM23" s="92">
        <f>'aij-UNIFAC (LLE)'!$D10*(1-LN(U23)-AG23)</f>
        <v>4.6214404636220729E-2</v>
      </c>
      <c r="AN23" s="93">
        <f>'aij-UNIFAC (LLE)'!$D10*(1-LN(V23)-AH23)</f>
        <v>0.46003298798114295</v>
      </c>
      <c r="AO23" s="93">
        <f>'aij-UNIFAC (LLE)'!$D10*(1-LN(W23)-AI23)</f>
        <v>6.76041842248402E-2</v>
      </c>
      <c r="AP23" s="93">
        <f>'aij-UNIFAC (LLE)'!$D10*(1-LN(X23)-AJ23)</f>
        <v>0.4207940037506841</v>
      </c>
      <c r="AQ23" s="93">
        <f>'aij-UNIFAC (LLE)'!$D10*(1-LN(Y23)-AK23)</f>
        <v>0.38915944326709634</v>
      </c>
      <c r="AR23" s="94">
        <f>'aij-UNIFAC (LLE)'!$D10*(1-LN(Z23)-AL23)</f>
        <v>8.8870567497394137E-2</v>
      </c>
      <c r="AS23" s="35"/>
      <c r="AT23" s="137"/>
      <c r="AU23" s="138"/>
      <c r="AV23" s="142"/>
    </row>
    <row r="24" spans="1:48" s="72" customFormat="1" ht="11">
      <c r="A24" s="35" t="str">
        <f>'aij-UNIFAC (LLE)'!B11</f>
        <v>CH2</v>
      </c>
      <c r="B24" s="193">
        <f>'UNIFAC (LLEa)'!B25</f>
        <v>0</v>
      </c>
      <c r="C24" s="193">
        <f>'UNIFAC (LLEa)'!C25</f>
        <v>0</v>
      </c>
      <c r="D24" s="193">
        <f>'UNIFAC (LLEa)'!D25</f>
        <v>0</v>
      </c>
      <c r="E24" s="193">
        <f>'UNIFAC (LLEa)'!E25</f>
        <v>1</v>
      </c>
      <c r="F24" s="193">
        <f>'UNIFAC (LLEa)'!F25</f>
        <v>0</v>
      </c>
      <c r="G24" s="83">
        <f t="array" ref="G24">SUM(B24:F24*$B$21:$F$21)</f>
        <v>9.9999999999999995E-21</v>
      </c>
      <c r="H24" s="36" t="str">
        <f t="shared" si="0"/>
        <v>CH2</v>
      </c>
      <c r="I24" s="95">
        <f t="shared" si="1"/>
        <v>0</v>
      </c>
      <c r="J24" s="96">
        <f t="shared" si="2"/>
        <v>0</v>
      </c>
      <c r="K24" s="96">
        <f t="shared" si="3"/>
        <v>0</v>
      </c>
      <c r="L24" s="96">
        <f t="shared" si="4"/>
        <v>0.33333333333333331</v>
      </c>
      <c r="M24" s="96">
        <f t="shared" si="5"/>
        <v>0</v>
      </c>
      <c r="N24" s="97">
        <f t="shared" si="6"/>
        <v>1.2219963520861808E-21</v>
      </c>
      <c r="O24" s="95">
        <f>I24*'aij-UNIFAC (LLE)'!$D11/I$41</f>
        <v>0</v>
      </c>
      <c r="P24" s="96">
        <f>J24*'aij-UNIFAC (LLE)'!$D11/J$41</f>
        <v>0</v>
      </c>
      <c r="Q24" s="96">
        <f>K24*'aij-UNIFAC (LLE)'!$D11/K$41</f>
        <v>0</v>
      </c>
      <c r="R24" s="96">
        <f>L24*'aij-UNIFAC (LLE)'!$D11/L$41</f>
        <v>0.20865533230293665</v>
      </c>
      <c r="S24" s="96">
        <f>M24*'aij-UNIFAC (LLE)'!$D11/M$41</f>
        <v>0</v>
      </c>
      <c r="T24" s="98">
        <f>N24*'aij-UNIFAC (LLE)'!$D11/N$41</f>
        <v>1.488084124875291E-21</v>
      </c>
      <c r="U24" s="95">
        <v>0.58633945198681447</v>
      </c>
      <c r="V24" s="99">
        <v>0.8706154330028707</v>
      </c>
      <c r="W24" s="96">
        <v>0.93674360062634787</v>
      </c>
      <c r="X24" s="96">
        <v>0.68767648751582533</v>
      </c>
      <c r="Y24" s="99">
        <v>0.41080704070929341</v>
      </c>
      <c r="Z24" s="100">
        <v>0.63229139646201282</v>
      </c>
      <c r="AA24" s="101">
        <f t="shared" si="7"/>
        <v>0</v>
      </c>
      <c r="AB24" s="102">
        <f t="shared" si="8"/>
        <v>0</v>
      </c>
      <c r="AC24" s="102">
        <f t="shared" si="9"/>
        <v>0</v>
      </c>
      <c r="AD24" s="102">
        <f t="shared" si="10"/>
        <v>0.30342077428979264</v>
      </c>
      <c r="AE24" s="102">
        <f t="shared" si="11"/>
        <v>0</v>
      </c>
      <c r="AF24" s="97">
        <f t="shared" si="12"/>
        <v>2.3534783696280975E-21</v>
      </c>
      <c r="AG24" s="95">
        <v>1.4793582688401357</v>
      </c>
      <c r="AH24" s="96">
        <v>0.59606319205288061</v>
      </c>
      <c r="AI24" s="99">
        <v>0.98562375743592667</v>
      </c>
      <c r="AJ24" s="99">
        <v>0.87821742922601154</v>
      </c>
      <c r="AK24" s="99">
        <v>1.4307172242399315</v>
      </c>
      <c r="AL24" s="100">
        <v>1.3536047232237549</v>
      </c>
      <c r="AM24" s="103">
        <f>'aij-UNIFAC (LLE)'!$D11*(1-LN(U24)-AG24)</f>
        <v>2.9428984084385844E-2</v>
      </c>
      <c r="AN24" s="104">
        <f>'aij-UNIFAC (LLE)'!$D11*(1-LN(V24)-AH24)</f>
        <v>0.29294553479931273</v>
      </c>
      <c r="AO24" s="104">
        <f>'aij-UNIFAC (LLE)'!$D11*(1-LN(W24)-AI24)</f>
        <v>4.3049834294119939E-2</v>
      </c>
      <c r="AP24" s="104">
        <f>'aij-UNIFAC (LLE)'!$D11*(1-LN(X24)-AJ24)</f>
        <v>0.26795844578463379</v>
      </c>
      <c r="AQ24" s="104">
        <f>'aij-UNIFAC (LLE)'!$D11*(1-LN(Y24)-AK24)</f>
        <v>0.24781379642008494</v>
      </c>
      <c r="AR24" s="105">
        <f>'aij-UNIFAC (LLE)'!$D11*(1-LN(Z24)-AL24)</f>
        <v>5.6592106661076454E-2</v>
      </c>
      <c r="AS24" s="35"/>
      <c r="AT24" s="137"/>
      <c r="AU24" s="143"/>
      <c r="AV24" s="143"/>
    </row>
    <row r="25" spans="1:48" s="72" customFormat="1" ht="11">
      <c r="A25" s="35" t="str">
        <f>'aij-UNIFAC (LLE)'!B12</f>
        <v>CH</v>
      </c>
      <c r="B25" s="193">
        <f>'UNIFAC (LLEa)'!B26</f>
        <v>0</v>
      </c>
      <c r="C25" s="193">
        <f>'UNIFAC (LLEa)'!C26</f>
        <v>0</v>
      </c>
      <c r="D25" s="193">
        <f>'UNIFAC (LLEa)'!D26</f>
        <v>1</v>
      </c>
      <c r="E25" s="193">
        <f>'UNIFAC (LLEa)'!E26</f>
        <v>0</v>
      </c>
      <c r="F25" s="193">
        <f>'UNIFAC (LLEa)'!F26</f>
        <v>0</v>
      </c>
      <c r="G25" s="83">
        <f t="array" ref="G25">SUM(B25:F25*$B$21:$F$21)</f>
        <v>8.8083679007636306E-2</v>
      </c>
      <c r="H25" s="36" t="str">
        <f t="shared" si="0"/>
        <v>CH</v>
      </c>
      <c r="I25" s="95">
        <f t="shared" si="1"/>
        <v>0</v>
      </c>
      <c r="J25" s="96">
        <f t="shared" si="2"/>
        <v>0</v>
      </c>
      <c r="K25" s="96">
        <f t="shared" si="3"/>
        <v>0.5</v>
      </c>
      <c r="L25" s="96">
        <f t="shared" si="4"/>
        <v>0</v>
      </c>
      <c r="M25" s="96">
        <f t="shared" si="5"/>
        <v>0</v>
      </c>
      <c r="N25" s="97">
        <f t="shared" si="6"/>
        <v>1.0763793442566167E-2</v>
      </c>
      <c r="O25" s="95">
        <f>I25*'aij-UNIFAC (LLE)'!$D12/I$41</f>
        <v>0</v>
      </c>
      <c r="P25" s="96">
        <f>J25*'aij-UNIFAC (LLE)'!$D12/J$41</f>
        <v>0</v>
      </c>
      <c r="Q25" s="96">
        <f>K25*'aij-UNIFAC (LLE)'!$D12/K$41</f>
        <v>9.4527363184079588E-2</v>
      </c>
      <c r="R25" s="96">
        <f>L25*'aij-UNIFAC (LLE)'!$D12/L$41</f>
        <v>0</v>
      </c>
      <c r="S25" s="96">
        <f>M25*'aij-UNIFAC (LLE)'!$D12/M$41</f>
        <v>0</v>
      </c>
      <c r="T25" s="98">
        <f>N25*'aij-UNIFAC (LLE)'!$D12/N$41</f>
        <v>5.5343168076569232E-3</v>
      </c>
      <c r="U25" s="95">
        <v>0.58633945198681447</v>
      </c>
      <c r="V25" s="99">
        <v>0.8706154330028707</v>
      </c>
      <c r="W25" s="99">
        <v>0.93674360062634787</v>
      </c>
      <c r="X25" s="99">
        <v>0.68767648751582533</v>
      </c>
      <c r="Y25" s="99">
        <v>0.41080704070929341</v>
      </c>
      <c r="Z25" s="100">
        <v>0.63229139646201282</v>
      </c>
      <c r="AA25" s="101">
        <f t="shared" si="7"/>
        <v>0</v>
      </c>
      <c r="AB25" s="102">
        <f t="shared" si="8"/>
        <v>0</v>
      </c>
      <c r="AC25" s="102">
        <f t="shared" si="9"/>
        <v>0.10091060469575074</v>
      </c>
      <c r="AD25" s="102">
        <f t="shared" si="10"/>
        <v>0</v>
      </c>
      <c r="AE25" s="102">
        <f t="shared" si="11"/>
        <v>0</v>
      </c>
      <c r="AF25" s="97">
        <f t="shared" si="12"/>
        <v>8.7527947377177649E-3</v>
      </c>
      <c r="AG25" s="106">
        <v>1.4793582688401357</v>
      </c>
      <c r="AH25" s="99">
        <v>0.59606319205288061</v>
      </c>
      <c r="AI25" s="99">
        <v>0.98562375743592667</v>
      </c>
      <c r="AJ25" s="99">
        <v>0.87821742922601154</v>
      </c>
      <c r="AK25" s="99">
        <v>1.4307172242399315</v>
      </c>
      <c r="AL25" s="100">
        <v>1.3536047232237549</v>
      </c>
      <c r="AM25" s="103">
        <f>'aij-UNIFAC (LLE)'!$D12*(1-LN(U25)-AG25)</f>
        <v>1.2425571057851801E-2</v>
      </c>
      <c r="AN25" s="104">
        <f>'aij-UNIFAC (LLE)'!$D12*(1-LN(V25)-AH25)</f>
        <v>0.12368811469304315</v>
      </c>
      <c r="AO25" s="104">
        <f>'aij-UNIFAC (LLE)'!$D12*(1-LN(W25)-AI25)</f>
        <v>1.8176596701961752E-2</v>
      </c>
      <c r="AP25" s="104">
        <f>'aij-UNIFAC (LLE)'!$D12*(1-LN(X25)-AJ25)</f>
        <v>0.11313801044240092</v>
      </c>
      <c r="AQ25" s="104">
        <f>'aij-UNIFAC (LLE)'!$D12*(1-LN(Y25)-AK25)</f>
        <v>0.10463249182181364</v>
      </c>
      <c r="AR25" s="105">
        <f>'aij-UNIFAC (LLE)'!$D12*(1-LN(Z25)-AL25)</f>
        <v>2.3894445034676727E-2</v>
      </c>
      <c r="AS25" s="35"/>
      <c r="AT25" s="190"/>
    </row>
    <row r="26" spans="1:48" s="72" customFormat="1" ht="11">
      <c r="A26" s="35" t="str">
        <f>'aij-UNIFAC (LLE)'!B13</f>
        <v>ACH</v>
      </c>
      <c r="B26" s="193">
        <f>'UNIFAC (LLEa)'!B27</f>
        <v>10</v>
      </c>
      <c r="C26" s="193">
        <f>'UNIFAC (LLEa)'!C27</f>
        <v>0</v>
      </c>
      <c r="D26" s="193">
        <f>'UNIFAC (LLEa)'!D27</f>
        <v>0</v>
      </c>
      <c r="E26" s="193">
        <f>'UNIFAC (LLEa)'!E27</f>
        <v>0</v>
      </c>
      <c r="F26" s="193">
        <f>'UNIFAC (LLEa)'!F27</f>
        <v>0</v>
      </c>
      <c r="G26" s="83">
        <f t="array" ref="G26">SUM(B26:F26*$B$21:$F$21)</f>
        <v>7.7291631056509438</v>
      </c>
      <c r="H26" s="36" t="str">
        <f t="shared" si="0"/>
        <v>ACH</v>
      </c>
      <c r="I26" s="95">
        <f t="shared" si="1"/>
        <v>1</v>
      </c>
      <c r="J26" s="96">
        <f t="shared" si="2"/>
        <v>0</v>
      </c>
      <c r="K26" s="96">
        <f t="shared" si="3"/>
        <v>0</v>
      </c>
      <c r="L26" s="96">
        <f t="shared" si="4"/>
        <v>0</v>
      </c>
      <c r="M26" s="96">
        <f t="shared" si="5"/>
        <v>0</v>
      </c>
      <c r="N26" s="97">
        <f t="shared" si="6"/>
        <v>0.94450091197845498</v>
      </c>
      <c r="O26" s="95">
        <f>I26*'aij-UNIFAC (LLE)'!$D13/I$41</f>
        <v>1</v>
      </c>
      <c r="P26" s="96">
        <f>J26*'aij-UNIFAC (LLE)'!$D13/J$41</f>
        <v>0</v>
      </c>
      <c r="Q26" s="96">
        <f>K26*'aij-UNIFAC (LLE)'!$D13/K$41</f>
        <v>0</v>
      </c>
      <c r="R26" s="96">
        <f>L26*'aij-UNIFAC (LLE)'!$D13/L$41</f>
        <v>0</v>
      </c>
      <c r="S26" s="96">
        <f>M26*'aij-UNIFAC (LLE)'!$D13/M$41</f>
        <v>0</v>
      </c>
      <c r="T26" s="98">
        <f>N26*'aij-UNIFAC (LLE)'!$D13/N$41</f>
        <v>0.85197369748822005</v>
      </c>
      <c r="U26" s="95">
        <v>1</v>
      </c>
      <c r="V26" s="96">
        <v>1.369067733598996</v>
      </c>
      <c r="W26" s="96">
        <v>0.47827050249342951</v>
      </c>
      <c r="X26" s="99">
        <v>1.2718889468510017</v>
      </c>
      <c r="Y26" s="99">
        <v>1.0620718225214429</v>
      </c>
      <c r="Z26" s="100">
        <v>1.0024780071519737</v>
      </c>
      <c r="AA26" s="101">
        <f t="shared" si="7"/>
        <v>1</v>
      </c>
      <c r="AB26" s="102">
        <f t="shared" si="8"/>
        <v>0</v>
      </c>
      <c r="AC26" s="102">
        <f t="shared" si="9"/>
        <v>0</v>
      </c>
      <c r="AD26" s="102">
        <f t="shared" si="10"/>
        <v>0</v>
      </c>
      <c r="AE26" s="102">
        <f t="shared" si="11"/>
        <v>0</v>
      </c>
      <c r="AF26" s="97">
        <f t="shared" si="12"/>
        <v>0.84986771920180648</v>
      </c>
      <c r="AG26" s="95">
        <v>1</v>
      </c>
      <c r="AH26" s="99">
        <v>0.36297401876697194</v>
      </c>
      <c r="AI26" s="99">
        <v>2.0611844438098537</v>
      </c>
      <c r="AJ26" s="99">
        <v>0.53759700891811291</v>
      </c>
      <c r="AK26" s="99">
        <v>0.72879426043844198</v>
      </c>
      <c r="AL26" s="100">
        <v>0.94996694650197355</v>
      </c>
      <c r="AM26" s="103">
        <f>'aij-UNIFAC (LLE)'!$D13*(1-LN(U26)-AG26)</f>
        <v>0</v>
      </c>
      <c r="AN26" s="104">
        <f>'aij-UNIFAC (LLE)'!$D13*(1-LN(V26)-AH26)</f>
        <v>0.12915838378122443</v>
      </c>
      <c r="AO26" s="104">
        <f>'aij-UNIFAC (LLE)'!$D13*(1-LN(W26)-AI26)</f>
        <v>-0.12944225682136265</v>
      </c>
      <c r="AP26" s="104">
        <f>'aij-UNIFAC (LLE)'!$D13*(1-LN(X26)-AJ26)</f>
        <v>8.8759934364035467E-2</v>
      </c>
      <c r="AQ26" s="104">
        <f>'aij-UNIFAC (LLE)'!$D13*(1-LN(Y26)-AK26)</f>
        <v>8.4393675814279145E-2</v>
      </c>
      <c r="AR26" s="105">
        <f>'aij-UNIFAC (LLE)'!$D13*(1-LN(Z26)-AL26)</f>
        <v>1.902324461723981E-2</v>
      </c>
      <c r="AS26" s="35"/>
      <c r="AT26" s="190"/>
    </row>
    <row r="27" spans="1:48" s="72" customFormat="1" ht="11">
      <c r="A27" s="35" t="str">
        <f>'aij-UNIFAC (LLE)'!B14</f>
        <v>ACCH2</v>
      </c>
      <c r="B27" s="193">
        <f>'UNIFAC (LLEa)'!B28</f>
        <v>0</v>
      </c>
      <c r="C27" s="193">
        <f>'UNIFAC (LLEa)'!C28</f>
        <v>0</v>
      </c>
      <c r="D27" s="193">
        <f>'UNIFAC (LLEa)'!D28</f>
        <v>0</v>
      </c>
      <c r="E27" s="193">
        <f>'UNIFAC (LLEa)'!E28</f>
        <v>0</v>
      </c>
      <c r="F27" s="193">
        <f>'UNIFAC (LLEa)'!F28</f>
        <v>0</v>
      </c>
      <c r="G27" s="83">
        <f t="array" ref="G27">SUM(B27:F27*$B$21:$F$21)</f>
        <v>0</v>
      </c>
      <c r="H27" s="36" t="str">
        <f t="shared" si="0"/>
        <v>ACCH2</v>
      </c>
      <c r="I27" s="95">
        <f t="shared" si="1"/>
        <v>0</v>
      </c>
      <c r="J27" s="96">
        <f t="shared" si="2"/>
        <v>0</v>
      </c>
      <c r="K27" s="96">
        <f t="shared" si="3"/>
        <v>0</v>
      </c>
      <c r="L27" s="96">
        <f t="shared" si="4"/>
        <v>0</v>
      </c>
      <c r="M27" s="96">
        <f t="shared" si="5"/>
        <v>0</v>
      </c>
      <c r="N27" s="97">
        <f t="shared" si="6"/>
        <v>0</v>
      </c>
      <c r="O27" s="95">
        <f>I27*'aij-UNIFAC (LLE)'!$D14/I$41</f>
        <v>0</v>
      </c>
      <c r="P27" s="96">
        <f>J27*'aij-UNIFAC (LLE)'!$D14/J$41</f>
        <v>0</v>
      </c>
      <c r="Q27" s="96">
        <f>K27*'aij-UNIFAC (LLE)'!$D14/K$41</f>
        <v>0</v>
      </c>
      <c r="R27" s="96">
        <f>L27*'aij-UNIFAC (LLE)'!$D14/L$41</f>
        <v>0</v>
      </c>
      <c r="S27" s="96">
        <f>M27*'aij-UNIFAC (LLE)'!$D14/M$41</f>
        <v>0</v>
      </c>
      <c r="T27" s="98">
        <f>N27*'aij-UNIFAC (LLE)'!$D14/N$41</f>
        <v>0</v>
      </c>
      <c r="U27" s="95">
        <v>0.56570970094562389</v>
      </c>
      <c r="V27" s="96">
        <v>1.3582120059028764</v>
      </c>
      <c r="W27" s="96">
        <v>0.94765903739491542</v>
      </c>
      <c r="X27" s="99">
        <v>1.2575253067941117</v>
      </c>
      <c r="Y27" s="99">
        <v>0.96472630981672891</v>
      </c>
      <c r="Z27" s="100">
        <v>0.65898414114348502</v>
      </c>
      <c r="AA27" s="101">
        <f t="shared" si="7"/>
        <v>0</v>
      </c>
      <c r="AB27" s="102">
        <f t="shared" si="8"/>
        <v>0</v>
      </c>
      <c r="AC27" s="102">
        <f t="shared" si="9"/>
        <v>0</v>
      </c>
      <c r="AD27" s="102">
        <f t="shared" si="10"/>
        <v>0</v>
      </c>
      <c r="AE27" s="102">
        <f t="shared" si="11"/>
        <v>0</v>
      </c>
      <c r="AF27" s="97">
        <f t="shared" si="12"/>
        <v>0</v>
      </c>
      <c r="AG27" s="95">
        <v>1.6499871915044264</v>
      </c>
      <c r="AH27" s="99">
        <v>0.3314029862503941</v>
      </c>
      <c r="AI27" s="99">
        <v>1.0166921942319542</v>
      </c>
      <c r="AJ27" s="99">
        <v>0.54623035856280933</v>
      </c>
      <c r="AK27" s="99">
        <v>0.91759375875521743</v>
      </c>
      <c r="AL27" s="100">
        <v>1.4740306656519855</v>
      </c>
      <c r="AM27" s="103">
        <f>'aij-UNIFAC (LLE)'!$D14*(1-LN(U27)-AG27)</f>
        <v>-5.300655577378461E-2</v>
      </c>
      <c r="AN27" s="104">
        <f>'aij-UNIFAC (LLE)'!$D14*(1-LN(V27)-AH27)</f>
        <v>0.23920240114447305</v>
      </c>
      <c r="AO27" s="104">
        <f>'aij-UNIFAC (LLE)'!$D14*(1-LN(W27)-AI27)</f>
        <v>2.4465086174388535E-2</v>
      </c>
      <c r="AP27" s="104">
        <f>'aij-UNIFAC (LLE)'!$D14*(1-LN(X27)-AJ27)</f>
        <v>0.14825177001410547</v>
      </c>
      <c r="AQ27" s="104">
        <f>'aij-UNIFAC (LLE)'!$D14*(1-LN(Y27)-AK27)</f>
        <v>7.8089270084103421E-2</v>
      </c>
      <c r="AR27" s="105">
        <f>'aij-UNIFAC (LLE)'!$D14*(1-LN(Z27)-AL27)</f>
        <v>-3.7603404861092517E-2</v>
      </c>
      <c r="AS27" s="35"/>
      <c r="AT27" s="190"/>
    </row>
    <row r="28" spans="1:48" s="72" customFormat="1" ht="11">
      <c r="A28" s="35" t="str">
        <f>'aij-UNIFAC (LLE)'!B15</f>
        <v>ACCH3</v>
      </c>
      <c r="B28" s="193">
        <f>'UNIFAC (LLEa)'!B29</f>
        <v>0</v>
      </c>
      <c r="C28" s="193">
        <f>'UNIFAC (LLEa)'!C29</f>
        <v>0</v>
      </c>
      <c r="D28" s="193">
        <f>'UNIFAC (LLEa)'!D29</f>
        <v>0</v>
      </c>
      <c r="E28" s="193">
        <f>'UNIFAC (LLEa)'!E29</f>
        <v>0</v>
      </c>
      <c r="F28" s="193">
        <f>'UNIFAC (LLEa)'!F29</f>
        <v>0</v>
      </c>
      <c r="G28" s="83">
        <f t="array" ref="G28">SUM(B28:F28*$B$21:$F$21)</f>
        <v>0</v>
      </c>
      <c r="H28" s="36" t="str">
        <f t="shared" si="0"/>
        <v>ACCH3</v>
      </c>
      <c r="I28" s="95">
        <f t="shared" si="1"/>
        <v>0</v>
      </c>
      <c r="J28" s="96">
        <f t="shared" si="2"/>
        <v>0</v>
      </c>
      <c r="K28" s="96">
        <f t="shared" si="3"/>
        <v>0</v>
      </c>
      <c r="L28" s="96">
        <f t="shared" si="4"/>
        <v>0</v>
      </c>
      <c r="M28" s="96">
        <f t="shared" si="5"/>
        <v>0</v>
      </c>
      <c r="N28" s="97">
        <f t="shared" si="6"/>
        <v>0</v>
      </c>
      <c r="O28" s="95">
        <f>I28*'aij-UNIFAC (LLE)'!$D15/I$41</f>
        <v>0</v>
      </c>
      <c r="P28" s="96">
        <f>J28*'aij-UNIFAC (LLE)'!$D15/J$41</f>
        <v>0</v>
      </c>
      <c r="Q28" s="96">
        <f>K28*'aij-UNIFAC (LLE)'!$D15/K$41</f>
        <v>0</v>
      </c>
      <c r="R28" s="96">
        <f>L28*'aij-UNIFAC (LLE)'!$D15/L$41</f>
        <v>0</v>
      </c>
      <c r="S28" s="96">
        <f>M28*'aij-UNIFAC (LLE)'!$D15/M$41</f>
        <v>0</v>
      </c>
      <c r="T28" s="98">
        <f>N28*'aij-UNIFAC (LLE)'!$D15/N$41</f>
        <v>0</v>
      </c>
      <c r="U28" s="95">
        <v>0.56570970094562389</v>
      </c>
      <c r="V28" s="96">
        <v>1.3582120059028764</v>
      </c>
      <c r="W28" s="96">
        <v>0.94765903739491542</v>
      </c>
      <c r="X28" s="99">
        <v>1.2575253067941117</v>
      </c>
      <c r="Y28" s="99">
        <v>0.96472630981672891</v>
      </c>
      <c r="Z28" s="100">
        <v>0.65898414114348502</v>
      </c>
      <c r="AA28" s="101">
        <f t="shared" si="7"/>
        <v>0</v>
      </c>
      <c r="AB28" s="102">
        <f t="shared" si="8"/>
        <v>0</v>
      </c>
      <c r="AC28" s="102">
        <f t="shared" si="9"/>
        <v>0</v>
      </c>
      <c r="AD28" s="102">
        <f t="shared" si="10"/>
        <v>0</v>
      </c>
      <c r="AE28" s="102">
        <f t="shared" si="11"/>
        <v>0</v>
      </c>
      <c r="AF28" s="97">
        <f t="shared" si="12"/>
        <v>0</v>
      </c>
      <c r="AG28" s="95">
        <v>1.6499871915044264</v>
      </c>
      <c r="AH28" s="99">
        <v>0.3314029862503941</v>
      </c>
      <c r="AI28" s="99">
        <v>1.0166921942319542</v>
      </c>
      <c r="AJ28" s="99">
        <v>0.54623035856280933</v>
      </c>
      <c r="AK28" s="99">
        <v>0.91759375875521743</v>
      </c>
      <c r="AL28" s="100">
        <v>1.4740306656519855</v>
      </c>
      <c r="AM28" s="103">
        <f>'aij-UNIFAC (LLE)'!$D15*(1-LN(U28)-AG28)</f>
        <v>-7.7742948468217415E-2</v>
      </c>
      <c r="AN28" s="104">
        <f>'aij-UNIFAC (LLE)'!$D15*(1-LN(V28)-AH28)</f>
        <v>0.35083018834522711</v>
      </c>
      <c r="AO28" s="104">
        <f>'aij-UNIFAC (LLE)'!$D15*(1-LN(W28)-AI28)</f>
        <v>3.5882126389103181E-2</v>
      </c>
      <c r="AP28" s="104">
        <f>'aij-UNIFAC (LLE)'!$D15*(1-LN(X28)-AJ28)</f>
        <v>0.21743592935402137</v>
      </c>
      <c r="AQ28" s="104">
        <f>'aij-UNIFAC (LLE)'!$D15*(1-LN(Y28)-AK28)</f>
        <v>0.114530929456685</v>
      </c>
      <c r="AR28" s="105">
        <f>'aij-UNIFAC (LLE)'!$D15*(1-LN(Z28)-AL28)</f>
        <v>-5.5151660462935681E-2</v>
      </c>
      <c r="AS28" s="35"/>
      <c r="AT28" s="190"/>
    </row>
    <row r="29" spans="1:48" s="72" customFormat="1" ht="11">
      <c r="A29" s="35" t="str">
        <f>'aij-UNIFAC (LLE)'!B16</f>
        <v>OH</v>
      </c>
      <c r="B29" s="193">
        <f>'UNIFAC (LLEa)'!B30</f>
        <v>0</v>
      </c>
      <c r="C29" s="193">
        <f>'UNIFAC (LLEa)'!C30</f>
        <v>0</v>
      </c>
      <c r="D29" s="193">
        <f>'UNIFAC (LLEa)'!D30</f>
        <v>0</v>
      </c>
      <c r="E29" s="193">
        <f>'UNIFAC (LLEa)'!E30</f>
        <v>1</v>
      </c>
      <c r="F29" s="193">
        <f>'UNIFAC (LLEa)'!F30</f>
        <v>0</v>
      </c>
      <c r="G29" s="83">
        <f t="array" ref="G29">SUM(B29:F29*$B$21:$F$21)</f>
        <v>9.9999999999999995E-21</v>
      </c>
      <c r="H29" s="36" t="str">
        <f t="shared" si="0"/>
        <v>OH</v>
      </c>
      <c r="I29" s="95">
        <f t="shared" si="1"/>
        <v>0</v>
      </c>
      <c r="J29" s="96">
        <f t="shared" si="2"/>
        <v>0</v>
      </c>
      <c r="K29" s="96">
        <f t="shared" si="3"/>
        <v>0</v>
      </c>
      <c r="L29" s="96">
        <f t="shared" si="4"/>
        <v>0.33333333333333331</v>
      </c>
      <c r="M29" s="96">
        <f t="shared" si="5"/>
        <v>0</v>
      </c>
      <c r="N29" s="97">
        <f t="shared" si="6"/>
        <v>1.2219963520861808E-21</v>
      </c>
      <c r="O29" s="95">
        <f>I29*'aij-UNIFAC (LLE)'!$D16/I$41</f>
        <v>0</v>
      </c>
      <c r="P29" s="96">
        <f>J29*'aij-UNIFAC (LLE)'!$D16/J$41</f>
        <v>0</v>
      </c>
      <c r="Q29" s="96">
        <f>K29*'aij-UNIFAC (LLE)'!$D16/K$41</f>
        <v>0</v>
      </c>
      <c r="R29" s="96">
        <f>L29*'aij-UNIFAC (LLE)'!$D16/L$41</f>
        <v>0.46367851622874806</v>
      </c>
      <c r="S29" s="96">
        <f>M29*'aij-UNIFAC (LLE)'!$D16/M$41</f>
        <v>0</v>
      </c>
      <c r="T29" s="98">
        <f>N29*'aij-UNIFAC (LLE)'!$D16/N$41</f>
        <v>3.3068536108339797E-21</v>
      </c>
      <c r="U29" s="95">
        <v>9.061279816646535E-2</v>
      </c>
      <c r="V29" s="96">
        <v>0.34515011982789096</v>
      </c>
      <c r="W29" s="96">
        <v>0.22776888738322143</v>
      </c>
      <c r="X29" s="99">
        <v>0.52317156438365231</v>
      </c>
      <c r="Y29" s="99">
        <v>0.43984275902018355</v>
      </c>
      <c r="Z29" s="100">
        <v>0.1214186688247301</v>
      </c>
      <c r="AA29" s="101">
        <f t="shared" si="7"/>
        <v>0</v>
      </c>
      <c r="AB29" s="102">
        <f t="shared" si="8"/>
        <v>0</v>
      </c>
      <c r="AC29" s="102">
        <f t="shared" si="9"/>
        <v>0</v>
      </c>
      <c r="AD29" s="102">
        <f t="shared" si="10"/>
        <v>0.88628386516955882</v>
      </c>
      <c r="AE29" s="102">
        <f t="shared" si="11"/>
        <v>0</v>
      </c>
      <c r="AF29" s="97">
        <f t="shared" si="12"/>
        <v>2.7235133137618884E-20</v>
      </c>
      <c r="AG29" s="95">
        <v>1.0319160977502368</v>
      </c>
      <c r="AH29" s="99">
        <v>0.85040590036255082</v>
      </c>
      <c r="AI29" s="99">
        <v>1.1527072901010902</v>
      </c>
      <c r="AJ29" s="99">
        <v>1.1408618401952466</v>
      </c>
      <c r="AK29" s="99">
        <v>1.3218611820389752</v>
      </c>
      <c r="AL29" s="100">
        <v>0.97156849330200057</v>
      </c>
      <c r="AM29" s="103">
        <f>'aij-UNIFAC (LLE)'!$D16*(1-LN(U29)-AG29)</f>
        <v>2.8430924616524709</v>
      </c>
      <c r="AN29" s="104">
        <f>'aij-UNIFAC (LLE)'!$D16*(1-LN(V29)-AH29)</f>
        <v>1.4560439115526658</v>
      </c>
      <c r="AO29" s="104">
        <f>'aij-UNIFAC (LLE)'!$D16*(1-LN(W29)-AI29)</f>
        <v>1.5920598310164393</v>
      </c>
      <c r="AP29" s="104">
        <f>'aij-UNIFAC (LLE)'!$D16*(1-LN(X29)-AJ29)</f>
        <v>0.60838078744861135</v>
      </c>
      <c r="AQ29" s="104">
        <f>'aij-UNIFAC (LLE)'!$D16*(1-LN(Y29)-AK29)</f>
        <v>0.5993721597173659</v>
      </c>
      <c r="AR29" s="105">
        <f>'aij-UNIFAC (LLE)'!$D16*(1-LN(Z29)-AL29)</f>
        <v>2.5643305673180441</v>
      </c>
      <c r="AS29" s="35"/>
      <c r="AT29" s="35"/>
    </row>
    <row r="30" spans="1:48" s="72" customFormat="1" ht="11">
      <c r="A30" s="35" t="str">
        <f>'aij-UNIFAC (LLE)'!B17</f>
        <v>2-Propanol</v>
      </c>
      <c r="B30" s="193">
        <f>'UNIFAC (LLEa)'!B31</f>
        <v>0</v>
      </c>
      <c r="C30" s="193">
        <f>'UNIFAC (LLEa)'!C31</f>
        <v>0</v>
      </c>
      <c r="D30" s="193">
        <f>'UNIFAC (LLEa)'!D31</f>
        <v>0</v>
      </c>
      <c r="E30" s="193">
        <f>'UNIFAC (LLEa)'!E31</f>
        <v>0</v>
      </c>
      <c r="F30" s="193">
        <f>'UNIFAC (LLEa)'!F31</f>
        <v>0</v>
      </c>
      <c r="G30" s="83">
        <f t="array" ref="G30">SUM(B30:F30*$B$21:$F$21)</f>
        <v>0</v>
      </c>
      <c r="H30" s="36" t="str">
        <f t="shared" si="0"/>
        <v>2-Propanol</v>
      </c>
      <c r="I30" s="95">
        <f t="shared" si="1"/>
        <v>0</v>
      </c>
      <c r="J30" s="96">
        <f t="shared" si="2"/>
        <v>0</v>
      </c>
      <c r="K30" s="96">
        <f t="shared" si="3"/>
        <v>0</v>
      </c>
      <c r="L30" s="96">
        <f t="shared" si="4"/>
        <v>0</v>
      </c>
      <c r="M30" s="96">
        <f t="shared" si="5"/>
        <v>0</v>
      </c>
      <c r="N30" s="97">
        <f t="shared" si="6"/>
        <v>0</v>
      </c>
      <c r="O30" s="95">
        <f>I30*'aij-UNIFAC (LLE)'!$D17/I$41</f>
        <v>0</v>
      </c>
      <c r="P30" s="96">
        <f>J30*'aij-UNIFAC (LLE)'!$D17/J$41</f>
        <v>0</v>
      </c>
      <c r="Q30" s="96">
        <f>K30*'aij-UNIFAC (LLE)'!$D17/K$41</f>
        <v>0</v>
      </c>
      <c r="R30" s="96">
        <f>L30*'aij-UNIFAC (LLE)'!$D17/L$41</f>
        <v>0</v>
      </c>
      <c r="S30" s="96">
        <f>M30*'aij-UNIFAC (LLE)'!$D17/M$41</f>
        <v>0</v>
      </c>
      <c r="T30" s="98">
        <f>N30*'aij-UNIFAC (LLE)'!$D17/N$41</f>
        <v>0</v>
      </c>
      <c r="U30" s="95">
        <v>0.13955465062458114</v>
      </c>
      <c r="V30" s="96">
        <v>1.11017300427524</v>
      </c>
      <c r="W30" s="96">
        <v>4.4667813280821749</v>
      </c>
      <c r="X30" s="99">
        <v>0.20159911248160622</v>
      </c>
      <c r="Y30" s="99">
        <v>0.32137119585810142</v>
      </c>
      <c r="Z30" s="100">
        <v>0.4797518706916824</v>
      </c>
      <c r="AA30" s="101">
        <f t="shared" si="7"/>
        <v>0</v>
      </c>
      <c r="AB30" s="102">
        <f t="shared" si="8"/>
        <v>0</v>
      </c>
      <c r="AC30" s="102">
        <f t="shared" si="9"/>
        <v>0</v>
      </c>
      <c r="AD30" s="102">
        <f t="shared" si="10"/>
        <v>0</v>
      </c>
      <c r="AE30" s="102">
        <f t="shared" si="11"/>
        <v>0</v>
      </c>
      <c r="AF30" s="97">
        <f t="shared" si="12"/>
        <v>0</v>
      </c>
      <c r="AG30" s="95">
        <v>2.3622821788376847</v>
      </c>
      <c r="AH30" s="99">
        <v>0.92248244811001356</v>
      </c>
      <c r="AI30" s="99">
        <v>0.16293279253148557</v>
      </c>
      <c r="AJ30" s="99">
        <v>3.4402010199015649</v>
      </c>
      <c r="AK30" s="99">
        <v>2.4142025275181576</v>
      </c>
      <c r="AL30" s="100">
        <v>2.1180839213493434</v>
      </c>
      <c r="AM30" s="103">
        <f>'aij-UNIFAC (LLE)'!$D17*(1-LN(U30)-AG30)</f>
        <v>1.896320529596252</v>
      </c>
      <c r="AN30" s="104">
        <f>'aij-UNIFAC (LLE)'!$D17*(1-LN(V30)-AH30)</f>
        <v>-8.4342723554057836E-2</v>
      </c>
      <c r="AO30" s="104">
        <f>'aij-UNIFAC (LLE)'!$D17*(1-LN(W30)-AI30)</f>
        <v>-2.0605931521094161</v>
      </c>
      <c r="AP30" s="104">
        <f>'aij-UNIFAC (LLE)'!$D17*(1-LN(X30)-AJ30)</f>
        <v>-2.62018275666891</v>
      </c>
      <c r="AQ30" s="104">
        <f>'aij-UNIFAC (LLE)'!$D17*(1-LN(Y30)-AK30)</f>
        <v>-0.87173369645752774</v>
      </c>
      <c r="AR30" s="105">
        <f>'aij-UNIFAC (LLE)'!$D17*(1-LN(Z30)-AL30)</f>
        <v>-1.1983591415504471</v>
      </c>
      <c r="AS30" s="35"/>
      <c r="AT30" s="35"/>
    </row>
    <row r="31" spans="1:48" s="72" customFormat="1" ht="11">
      <c r="A31" s="35" t="str">
        <f>'aij-UNIFAC (LLE)'!B18</f>
        <v>H2O</v>
      </c>
      <c r="B31" s="193">
        <f>'UNIFAC (LLEa)'!B32</f>
        <v>0</v>
      </c>
      <c r="C31" s="193">
        <f>'UNIFAC (LLEa)'!C32</f>
        <v>0</v>
      </c>
      <c r="D31" s="193">
        <f>'UNIFAC (LLEa)'!D32</f>
        <v>0</v>
      </c>
      <c r="E31" s="193">
        <f>'UNIFAC (LLEa)'!E32</f>
        <v>0</v>
      </c>
      <c r="F31" s="193">
        <f>'UNIFAC (LLEa)'!F32</f>
        <v>0</v>
      </c>
      <c r="G31" s="83">
        <f t="array" ref="G31">SUM(B31:F31*$B$21:$F$21)</f>
        <v>0</v>
      </c>
      <c r="H31" s="36" t="str">
        <f t="shared" si="0"/>
        <v>H2O</v>
      </c>
      <c r="I31" s="95">
        <f t="shared" si="1"/>
        <v>0</v>
      </c>
      <c r="J31" s="96">
        <f t="shared" si="2"/>
        <v>0</v>
      </c>
      <c r="K31" s="96">
        <f t="shared" si="3"/>
        <v>0</v>
      </c>
      <c r="L31" s="96">
        <f t="shared" si="4"/>
        <v>0</v>
      </c>
      <c r="M31" s="96">
        <f t="shared" si="5"/>
        <v>0</v>
      </c>
      <c r="N31" s="97">
        <f t="shared" si="6"/>
        <v>0</v>
      </c>
      <c r="O31" s="95">
        <f>I31*'aij-UNIFAC (LLE)'!$D18/I$41</f>
        <v>0</v>
      </c>
      <c r="P31" s="96">
        <f>J31*'aij-UNIFAC (LLE)'!$D18/J$41</f>
        <v>0</v>
      </c>
      <c r="Q31" s="96">
        <f>K31*'aij-UNIFAC (LLE)'!$D18/K$41</f>
        <v>0</v>
      </c>
      <c r="R31" s="96">
        <f>L31*'aij-UNIFAC (LLE)'!$D18/L$41</f>
        <v>0</v>
      </c>
      <c r="S31" s="96">
        <f>M31*'aij-UNIFAC (LLE)'!$D18/M$41</f>
        <v>0</v>
      </c>
      <c r="T31" s="98">
        <f>N31*'aij-UNIFAC (LLE)'!$D18/N$41</f>
        <v>0</v>
      </c>
      <c r="U31" s="95">
        <v>5.3311405683924451E-2</v>
      </c>
      <c r="V31" s="96">
        <v>7.7366984048662726E-2</v>
      </c>
      <c r="W31" s="96">
        <v>6.1623003967940904E-2</v>
      </c>
      <c r="X31" s="99">
        <v>0.42675248933739091</v>
      </c>
      <c r="Y31" s="99">
        <v>6.8683942805094933E-2</v>
      </c>
      <c r="Z31" s="100">
        <v>5.5950497325638442E-2</v>
      </c>
      <c r="AA31" s="101">
        <f t="shared" si="7"/>
        <v>0</v>
      </c>
      <c r="AB31" s="102">
        <f t="shared" si="8"/>
        <v>0</v>
      </c>
      <c r="AC31" s="102">
        <f t="shared" si="9"/>
        <v>0</v>
      </c>
      <c r="AD31" s="102">
        <f t="shared" si="10"/>
        <v>0</v>
      </c>
      <c r="AE31" s="102">
        <f t="shared" si="11"/>
        <v>0</v>
      </c>
      <c r="AF31" s="97">
        <f t="shared" si="12"/>
        <v>0</v>
      </c>
      <c r="AG31" s="95">
        <v>0.28035351857219498</v>
      </c>
      <c r="AH31" s="99">
        <v>1.7431394506556939</v>
      </c>
      <c r="AI31" s="99">
        <v>0.3001162703558663</v>
      </c>
      <c r="AJ31" s="99">
        <v>1.5881075649745173</v>
      </c>
      <c r="AK31" s="99">
        <v>3.7327508216339442</v>
      </c>
      <c r="AL31" s="100">
        <v>0.36102479583130775</v>
      </c>
      <c r="AM31" s="103">
        <f>'aij-UNIFAC (LLE)'!$D18*(1-LN(U31)-AG31)</f>
        <v>5.1117520465385828</v>
      </c>
      <c r="AN31" s="104">
        <f>'aij-UNIFAC (LLE)'!$D18*(1-LN(V31)-AH31)</f>
        <v>2.5424779819785885</v>
      </c>
      <c r="AO31" s="104">
        <f>'aij-UNIFAC (LLE)'!$D18*(1-LN(W31)-AI31)</f>
        <v>4.8812452734647618</v>
      </c>
      <c r="AP31" s="104">
        <f>'aij-UNIFAC (LLE)'!$D18*(1-LN(X31)-AJ31)</f>
        <v>0.3688209267468302</v>
      </c>
      <c r="AQ31" s="104">
        <f>'aij-UNIFAC (LLE)'!$D18*(1-LN(Y31)-AK31)</f>
        <v>-7.6315379528791721E-2</v>
      </c>
      <c r="AR31" s="105">
        <f>'aij-UNIFAC (LLE)'!$D18*(1-LN(Z31)-AL31)</f>
        <v>4.9311684235534585</v>
      </c>
      <c r="AS31" s="35"/>
      <c r="AT31" s="35"/>
    </row>
    <row r="32" spans="1:48" s="72" customFormat="1" ht="13">
      <c r="A32" s="35" t="str">
        <f>'aij-UNIFAC (LLE)'!B19</f>
        <v>ACOH</v>
      </c>
      <c r="B32" s="193">
        <f>'UNIFAC (LLEa)'!B33</f>
        <v>0</v>
      </c>
      <c r="C32" s="193">
        <f>'UNIFAC (LLEa)'!C33</f>
        <v>0</v>
      </c>
      <c r="D32" s="193">
        <f>'UNIFAC (LLEa)'!D33</f>
        <v>0</v>
      </c>
      <c r="E32" s="193">
        <f>'UNIFAC (LLEa)'!E33</f>
        <v>0</v>
      </c>
      <c r="F32" s="193">
        <f>'UNIFAC (LLEa)'!F33</f>
        <v>0</v>
      </c>
      <c r="G32" s="83">
        <f t="array" ref="G32">SUM(B32:F32*$B$21:$F$21)</f>
        <v>0</v>
      </c>
      <c r="H32" s="36" t="str">
        <f t="shared" si="0"/>
        <v>ACOH</v>
      </c>
      <c r="I32" s="95">
        <f t="shared" si="1"/>
        <v>0</v>
      </c>
      <c r="J32" s="96">
        <f t="shared" si="2"/>
        <v>0</v>
      </c>
      <c r="K32" s="96">
        <f t="shared" si="3"/>
        <v>0</v>
      </c>
      <c r="L32" s="96">
        <f t="shared" si="4"/>
        <v>0</v>
      </c>
      <c r="M32" s="96">
        <f t="shared" si="5"/>
        <v>0</v>
      </c>
      <c r="N32" s="97">
        <f t="shared" si="6"/>
        <v>0</v>
      </c>
      <c r="O32" s="95">
        <f>I32*'aij-UNIFAC (LLE)'!$D19/I$41</f>
        <v>0</v>
      </c>
      <c r="P32" s="96">
        <f>J32*'aij-UNIFAC (LLE)'!$D19/J$41</f>
        <v>0</v>
      </c>
      <c r="Q32" s="96">
        <f>K32*'aij-UNIFAC (LLE)'!$D19/K$41</f>
        <v>0</v>
      </c>
      <c r="R32" s="96">
        <f>L32*'aij-UNIFAC (LLE)'!$D19/L$41</f>
        <v>0</v>
      </c>
      <c r="S32" s="96">
        <f>M32*'aij-UNIFAC (LLE)'!$D19/M$41</f>
        <v>0</v>
      </c>
      <c r="T32" s="98">
        <f>N32*'aij-UNIFAC (LLE)'!$D19/N$41</f>
        <v>0</v>
      </c>
      <c r="U32" s="95">
        <v>3.606178694293089E-3</v>
      </c>
      <c r="V32" s="96">
        <v>4.4220569140220363</v>
      </c>
      <c r="W32" s="96">
        <v>0.90551577191100008</v>
      </c>
      <c r="X32" s="99">
        <v>0.90357257329372054</v>
      </c>
      <c r="Y32" s="99">
        <v>0.59092034877784394</v>
      </c>
      <c r="Z32" s="100">
        <v>0.4517693037559436</v>
      </c>
      <c r="AA32" s="101">
        <f t="shared" si="7"/>
        <v>0</v>
      </c>
      <c r="AB32" s="102">
        <f t="shared" si="8"/>
        <v>0</v>
      </c>
      <c r="AC32" s="102">
        <f t="shared" si="9"/>
        <v>0</v>
      </c>
      <c r="AD32" s="102">
        <f t="shared" si="10"/>
        <v>0</v>
      </c>
      <c r="AE32" s="102">
        <f t="shared" si="11"/>
        <v>0</v>
      </c>
      <c r="AF32" s="97">
        <f t="shared" si="12"/>
        <v>0</v>
      </c>
      <c r="AG32" s="95">
        <v>5.023820436383283</v>
      </c>
      <c r="AH32" s="99">
        <v>15.733213584535548</v>
      </c>
      <c r="AI32" s="99">
        <v>1.0816908507288998</v>
      </c>
      <c r="AJ32" s="99">
        <v>2.4445109594778573</v>
      </c>
      <c r="AK32" s="99">
        <v>2.4173319344244217</v>
      </c>
      <c r="AL32" s="100">
        <v>5.2956697086423405</v>
      </c>
      <c r="AM32" s="103">
        <f>'aij-UNIFAC (LLE)'!$D19*(1-LN(U32)-AG32)</f>
        <v>1.0888745917464906</v>
      </c>
      <c r="AN32" s="104">
        <f>'aij-UNIFAC (LLE)'!$D19*(1-LN(V32)-AH32)</f>
        <v>-11.029476605527014</v>
      </c>
      <c r="AO32" s="104">
        <f>'aij-UNIFAC (LLE)'!$D19*(1-LN(W32)-AI32)</f>
        <v>1.1940618561477098E-2</v>
      </c>
      <c r="AP32" s="104">
        <f>'aij-UNIFAC (LLE)'!$D19*(1-LN(X32)-AJ32)</f>
        <v>-0.91331623610672652</v>
      </c>
      <c r="AQ32" s="104">
        <f>'aij-UNIFAC (LLE)'!$D19*(1-LN(Y32)-AK32)</f>
        <v>-0.60605536528435378</v>
      </c>
      <c r="AR32" s="105">
        <f>'aij-UNIFAC (LLE)'!$D19*(1-LN(Z32)-AL32)</f>
        <v>-2.3807385407095056</v>
      </c>
      <c r="AS32" s="5"/>
      <c r="AT32" s="35"/>
    </row>
    <row r="33" spans="1:46" s="72" customFormat="1" ht="13">
      <c r="A33" s="35" t="str">
        <f>'aij-UNIFAC (LLE)'!B20</f>
        <v>CH3CO</v>
      </c>
      <c r="B33" s="193">
        <f>'UNIFAC (LLEa)'!B34</f>
        <v>0</v>
      </c>
      <c r="C33" s="193">
        <f>'UNIFAC (LLEa)'!C34</f>
        <v>1</v>
      </c>
      <c r="D33" s="193">
        <f>'UNIFAC (LLEa)'!D34</f>
        <v>0</v>
      </c>
      <c r="E33" s="193">
        <f>'UNIFAC (LLEa)'!E34</f>
        <v>0</v>
      </c>
      <c r="F33" s="193">
        <f>'UNIFAC (LLEa)'!F34</f>
        <v>0</v>
      </c>
      <c r="G33" s="83">
        <f t="array" ref="G33">SUM(B33:F33*$B$21:$F$21)</f>
        <v>0.13900001042726937</v>
      </c>
      <c r="H33" s="36" t="str">
        <f t="shared" si="0"/>
        <v>CH3CO</v>
      </c>
      <c r="I33" s="95">
        <f t="shared" si="1"/>
        <v>0</v>
      </c>
      <c r="J33" s="96">
        <f t="shared" si="2"/>
        <v>0.5</v>
      </c>
      <c r="K33" s="96">
        <f t="shared" si="3"/>
        <v>0</v>
      </c>
      <c r="L33" s="96">
        <f t="shared" si="4"/>
        <v>0</v>
      </c>
      <c r="M33" s="96">
        <f t="shared" si="5"/>
        <v>0</v>
      </c>
      <c r="N33" s="97">
        <f t="shared" si="6"/>
        <v>1.6985750568206427E-2</v>
      </c>
      <c r="O33" s="95">
        <f>I33*'aij-UNIFAC (LLE)'!$D20/I$41</f>
        <v>0</v>
      </c>
      <c r="P33" s="96">
        <f>J33*'aij-UNIFAC (LLE)'!$D20/J$41</f>
        <v>0.63698630136986301</v>
      </c>
      <c r="Q33" s="96">
        <f>K33*'aij-UNIFAC (LLE)'!$D20/K$41</f>
        <v>0</v>
      </c>
      <c r="R33" s="96">
        <f>L33*'aij-UNIFAC (LLE)'!$D20/L$41</f>
        <v>0</v>
      </c>
      <c r="S33" s="96">
        <f>M33*'aij-UNIFAC (LLE)'!$D20/M$41</f>
        <v>0</v>
      </c>
      <c r="T33" s="98">
        <f>N33*'aij-UNIFAC (LLE)'!$D20/N$41</f>
        <v>5.6996933112034694E-2</v>
      </c>
      <c r="U33" s="95">
        <v>0.13196176603097484</v>
      </c>
      <c r="V33" s="96">
        <v>0.70939284067583286</v>
      </c>
      <c r="W33" s="96">
        <v>15.1589800282905</v>
      </c>
      <c r="X33" s="99">
        <v>0.47582836698876918</v>
      </c>
      <c r="Y33" s="99">
        <v>0.91620658850339476</v>
      </c>
      <c r="Z33" s="100">
        <v>1.0634202919376421</v>
      </c>
      <c r="AA33" s="101">
        <f t="shared" si="7"/>
        <v>0</v>
      </c>
      <c r="AB33" s="102">
        <f t="shared" si="8"/>
        <v>0.89793167458951417</v>
      </c>
      <c r="AC33" s="102">
        <f t="shared" si="9"/>
        <v>0</v>
      </c>
      <c r="AD33" s="102">
        <f t="shared" si="10"/>
        <v>0</v>
      </c>
      <c r="AE33" s="102">
        <f t="shared" si="11"/>
        <v>0</v>
      </c>
      <c r="AF33" s="97">
        <f t="shared" si="12"/>
        <v>5.3597748269577819E-2</v>
      </c>
      <c r="AG33" s="95">
        <v>1.3062139877088843</v>
      </c>
      <c r="AH33" s="99">
        <v>1.2302005464644874</v>
      </c>
      <c r="AI33" s="99">
        <v>0.95162000309046912</v>
      </c>
      <c r="AJ33" s="99">
        <v>1.0456932595193167</v>
      </c>
      <c r="AK33" s="99">
        <v>0.8038245190452924</v>
      </c>
      <c r="AL33" s="100">
        <v>1.2367598292490665</v>
      </c>
      <c r="AM33" s="103">
        <f>'aij-UNIFAC (LLE)'!$D20*(1-LN(U33)-AG33)</f>
        <v>2.5579152441435218</v>
      </c>
      <c r="AN33" s="104">
        <f>'aij-UNIFAC (LLE)'!$D20*(1-LN(V33)-AH33)</f>
        <v>0.16836018008135731</v>
      </c>
      <c r="AO33" s="104">
        <f>'aij-UNIFAC (LLE)'!$D20*(1-LN(W33)-AI33)</f>
        <v>-3.9732770936712112</v>
      </c>
      <c r="AP33" s="104">
        <f>'aij-UNIFAC (LLE)'!$D20*(1-LN(X33)-AJ33)</f>
        <v>1.0371431480643405</v>
      </c>
      <c r="AQ33" s="104">
        <f>'aij-UNIFAC (LLE)'!$D20*(1-LN(Y33)-AK33)</f>
        <v>0.42212906443762455</v>
      </c>
      <c r="AR33" s="105">
        <f>'aij-UNIFAC (LLE)'!$D20*(1-LN(Z33)-AL33)</f>
        <v>-0.44379634712907734</v>
      </c>
      <c r="AS33" s="5"/>
      <c r="AT33" s="35"/>
    </row>
    <row r="34" spans="1:46" s="72" customFormat="1" ht="13">
      <c r="A34" s="35" t="str">
        <f>'aij-UNIFAC (LLE)'!B21</f>
        <v>CHO</v>
      </c>
      <c r="B34" s="193">
        <f>'UNIFAC (LLEa)'!B35</f>
        <v>0</v>
      </c>
      <c r="C34" s="193">
        <f>'UNIFAC (LLEa)'!C35</f>
        <v>0</v>
      </c>
      <c r="D34" s="193">
        <f>'UNIFAC (LLEa)'!D35</f>
        <v>0</v>
      </c>
      <c r="E34" s="193">
        <f>'UNIFAC (LLEa)'!E35</f>
        <v>0</v>
      </c>
      <c r="F34" s="193">
        <f>'UNIFAC (LLEa)'!F35</f>
        <v>0</v>
      </c>
      <c r="G34" s="83">
        <f t="array" ref="G34">SUM(B34:F34*$B$21:$F$21)</f>
        <v>0</v>
      </c>
      <c r="H34" s="36" t="str">
        <f t="shared" si="0"/>
        <v>CHO</v>
      </c>
      <c r="I34" s="95">
        <f t="shared" si="1"/>
        <v>0</v>
      </c>
      <c r="J34" s="96">
        <f t="shared" si="2"/>
        <v>0</v>
      </c>
      <c r="K34" s="96">
        <f t="shared" si="3"/>
        <v>0</v>
      </c>
      <c r="L34" s="96">
        <f t="shared" si="4"/>
        <v>0</v>
      </c>
      <c r="M34" s="96">
        <f t="shared" si="5"/>
        <v>0</v>
      </c>
      <c r="N34" s="97">
        <f t="shared" si="6"/>
        <v>0</v>
      </c>
      <c r="O34" s="95">
        <f>I34*'aij-UNIFAC (LLE)'!$D21/I$41</f>
        <v>0</v>
      </c>
      <c r="P34" s="96">
        <f>J34*'aij-UNIFAC (LLE)'!$D21/J$41</f>
        <v>0</v>
      </c>
      <c r="Q34" s="96">
        <f>K34*'aij-UNIFAC (LLE)'!$D21/K$41</f>
        <v>0</v>
      </c>
      <c r="R34" s="96">
        <f>L34*'aij-UNIFAC (LLE)'!$D21/L$41</f>
        <v>0</v>
      </c>
      <c r="S34" s="96">
        <f>M34*'aij-UNIFAC (LLE)'!$D21/M$41</f>
        <v>0</v>
      </c>
      <c r="T34" s="98">
        <f>N34*'aij-UNIFAC (LLE)'!$D21/N$41</f>
        <v>0</v>
      </c>
      <c r="U34" s="95">
        <v>0.29057717795438071</v>
      </c>
      <c r="V34" s="96">
        <v>0.93525645958135484</v>
      </c>
      <c r="W34" s="96">
        <v>0.96059607526420976</v>
      </c>
      <c r="X34" s="99">
        <v>0.31654633910133334</v>
      </c>
      <c r="Y34" s="99">
        <v>0.25504465096244022</v>
      </c>
      <c r="Z34" s="100">
        <v>0.3874902330382885</v>
      </c>
      <c r="AA34" s="101">
        <f t="shared" si="7"/>
        <v>0</v>
      </c>
      <c r="AB34" s="102">
        <f t="shared" si="8"/>
        <v>0</v>
      </c>
      <c r="AC34" s="102">
        <f t="shared" si="9"/>
        <v>0</v>
      </c>
      <c r="AD34" s="102">
        <f t="shared" si="10"/>
        <v>0</v>
      </c>
      <c r="AE34" s="102">
        <f t="shared" si="11"/>
        <v>0</v>
      </c>
      <c r="AF34" s="97">
        <f t="shared" si="12"/>
        <v>0</v>
      </c>
      <c r="AG34" s="95">
        <v>1.2928706888089005</v>
      </c>
      <c r="AH34" s="99">
        <v>0.83355952488206919</v>
      </c>
      <c r="AI34" s="99">
        <v>0.96894446469167872</v>
      </c>
      <c r="AJ34" s="99">
        <v>4.3333212272269055</v>
      </c>
      <c r="AK34" s="99">
        <v>1.3024462507656558</v>
      </c>
      <c r="AL34" s="100">
        <v>1.196123013598783</v>
      </c>
      <c r="AM34" s="103">
        <f>'aij-UNIFAC (LLE)'!$D21*(1-LN(U34)-AG34)</f>
        <v>0.89397857677549375</v>
      </c>
      <c r="AN34" s="104">
        <f>'aij-UNIFAC (LLE)'!$D21*(1-LN(V34)-AH34)</f>
        <v>0.22123947544608036</v>
      </c>
      <c r="AO34" s="104">
        <f>'aij-UNIFAC (LLE)'!$D21*(1-LN(W34)-AI34)</f>
        <v>6.7551456620348727E-2</v>
      </c>
      <c r="AP34" s="104">
        <f>'aij-UNIFAC (LLE)'!$D21*(1-LN(X34)-AJ34)</f>
        <v>-2.0695177394855304</v>
      </c>
      <c r="AQ34" s="104">
        <f>'aij-UNIFAC (LLE)'!$D21*(1-LN(Y34)-AK34)</f>
        <v>1.0085491359512961</v>
      </c>
      <c r="AR34" s="105">
        <f>'aij-UNIFAC (LLE)'!$D21*(1-LN(Z34)-AL34)</f>
        <v>0.71284065762764193</v>
      </c>
      <c r="AS34" s="5"/>
      <c r="AT34" s="35"/>
    </row>
    <row r="35" spans="1:46" s="72" customFormat="1" ht="13">
      <c r="A35" s="35" t="str">
        <f>'aij-UNIFAC (LLE)'!B22</f>
        <v>COOH</v>
      </c>
      <c r="B35" s="193">
        <f>'UNIFAC (LLEa)'!B36</f>
        <v>0</v>
      </c>
      <c r="C35" s="193">
        <f>'UNIFAC (LLEa)'!C36</f>
        <v>0</v>
      </c>
      <c r="D35" s="193">
        <f>'UNIFAC (LLEa)'!D36</f>
        <v>0</v>
      </c>
      <c r="E35" s="193">
        <f>'UNIFAC (LLEa)'!E36</f>
        <v>0</v>
      </c>
      <c r="F35" s="193">
        <f>'UNIFAC (LLEa)'!F36</f>
        <v>1</v>
      </c>
      <c r="G35" s="83">
        <f t="array" ref="G35">SUM(B35:F35*$B$21:$F$21)</f>
        <v>9.9999999999999995E-21</v>
      </c>
      <c r="H35" s="36" t="str">
        <f t="shared" si="0"/>
        <v>COOH</v>
      </c>
      <c r="I35" s="95">
        <f t="shared" si="1"/>
        <v>0</v>
      </c>
      <c r="J35" s="96">
        <f t="shared" si="2"/>
        <v>0</v>
      </c>
      <c r="K35" s="96">
        <f t="shared" si="3"/>
        <v>0</v>
      </c>
      <c r="L35" s="96">
        <f t="shared" si="4"/>
        <v>0</v>
      </c>
      <c r="M35" s="96">
        <f t="shared" si="5"/>
        <v>0.5</v>
      </c>
      <c r="N35" s="97">
        <f t="shared" si="6"/>
        <v>1.2219963520861808E-21</v>
      </c>
      <c r="O35" s="95">
        <f>I35*'aij-UNIFAC (LLE)'!$D22/I$41</f>
        <v>0</v>
      </c>
      <c r="P35" s="96">
        <f>J35*'aij-UNIFAC (LLE)'!$D22/J$41</f>
        <v>0</v>
      </c>
      <c r="Q35" s="96">
        <f>K35*'aij-UNIFAC (LLE)'!$D22/K$41</f>
        <v>0</v>
      </c>
      <c r="R35" s="96">
        <f>L35*'aij-UNIFAC (LLE)'!$D22/L$41</f>
        <v>0</v>
      </c>
      <c r="S35" s="96">
        <f>M35*'aij-UNIFAC (LLE)'!$D22/M$41</f>
        <v>0.59073359073359066</v>
      </c>
      <c r="T35" s="98">
        <f>N35*'aij-UNIFAC (LLE)'!$D22/N$41</f>
        <v>3.3729906830506591E-21</v>
      </c>
      <c r="U35" s="95">
        <v>0.20694489145117453</v>
      </c>
      <c r="V35" s="96">
        <v>0.23468612894480873</v>
      </c>
      <c r="W35" s="96">
        <v>0.31469357503860934</v>
      </c>
      <c r="X35" s="99">
        <v>0.9944908224547</v>
      </c>
      <c r="Y35" s="99">
        <v>0.84511680200802219</v>
      </c>
      <c r="Z35" s="100">
        <v>0.21573553991101518</v>
      </c>
      <c r="AA35" s="101">
        <f t="shared" si="7"/>
        <v>0</v>
      </c>
      <c r="AB35" s="102">
        <f t="shared" si="8"/>
        <v>0</v>
      </c>
      <c r="AC35" s="102">
        <f t="shared" si="9"/>
        <v>0</v>
      </c>
      <c r="AD35" s="102">
        <f t="shared" si="10"/>
        <v>0</v>
      </c>
      <c r="AE35" s="102">
        <f t="shared" si="11"/>
        <v>0.69899638645213347</v>
      </c>
      <c r="AF35" s="97">
        <f t="shared" si="12"/>
        <v>1.5634840158658709E-20</v>
      </c>
      <c r="AG35" s="95">
        <v>0.77297140873202208</v>
      </c>
      <c r="AH35" s="99">
        <v>1.2696641602180871</v>
      </c>
      <c r="AI35" s="99">
        <v>0.77042238434547106</v>
      </c>
      <c r="AJ35" s="99">
        <v>0.59382200569776566</v>
      </c>
      <c r="AK35" s="99">
        <v>0.70159460281416497</v>
      </c>
      <c r="AL35" s="100">
        <v>0.75502660391704324</v>
      </c>
      <c r="AM35" s="103">
        <f>'aij-UNIFAC (LLE)'!$D22*(1-LN(U35)-AG35)</f>
        <v>2.2060535568581758</v>
      </c>
      <c r="AN35" s="104">
        <f>'aij-UNIFAC (LLE)'!$D22*(1-LN(V35)-AH35)</f>
        <v>1.4441267534953484</v>
      </c>
      <c r="AO35" s="104">
        <f>'aij-UNIFAC (LLE)'!$D22*(1-LN(W35)-AI35)</f>
        <v>1.6961378124719089</v>
      </c>
      <c r="AP35" s="104">
        <f>'aij-UNIFAC (LLE)'!$D22*(1-LN(X35)-AJ35)</f>
        <v>0.50392374168067</v>
      </c>
      <c r="AQ35" s="104">
        <f>'aij-UNIFAC (LLE)'!$D22*(1-LN(Y35)-AK35)</f>
        <v>0.57122345730908408</v>
      </c>
      <c r="AR35" s="105">
        <f>'aij-UNIFAC (LLE)'!$D22*(1-LN(Z35)-AL35)</f>
        <v>2.1770986526062237</v>
      </c>
      <c r="AS35" s="5"/>
      <c r="AT35" s="5"/>
    </row>
    <row r="36" spans="1:46">
      <c r="A36" s="35" t="str">
        <f>'aij-UNIFAC (LLE)'!B23</f>
        <v>CH3COO</v>
      </c>
      <c r="B36" s="193">
        <f>'UNIFAC (LLEa)'!B37</f>
        <v>0</v>
      </c>
      <c r="C36" s="193">
        <f>'UNIFAC (LLEa)'!C37</f>
        <v>0</v>
      </c>
      <c r="D36" s="193">
        <f>'UNIFAC (LLEa)'!D37</f>
        <v>0</v>
      </c>
      <c r="E36" s="193">
        <f>'UNIFAC (LLEa)'!E37</f>
        <v>0</v>
      </c>
      <c r="F36" s="193">
        <f>'UNIFAC (LLEa)'!F37</f>
        <v>0</v>
      </c>
      <c r="G36" s="83">
        <f t="array" ref="G36">SUM(B36:F36*$B$21:$F$21)</f>
        <v>0</v>
      </c>
      <c r="H36" s="36" t="str">
        <f t="shared" si="0"/>
        <v>CH3COO</v>
      </c>
      <c r="I36" s="95">
        <f t="shared" si="1"/>
        <v>0</v>
      </c>
      <c r="J36" s="96">
        <f t="shared" si="2"/>
        <v>0</v>
      </c>
      <c r="K36" s="96">
        <f t="shared" si="3"/>
        <v>0</v>
      </c>
      <c r="L36" s="96">
        <f t="shared" si="4"/>
        <v>0</v>
      </c>
      <c r="M36" s="96">
        <f t="shared" si="5"/>
        <v>0</v>
      </c>
      <c r="N36" s="97">
        <f t="shared" si="6"/>
        <v>0</v>
      </c>
      <c r="O36" s="95">
        <f>I36*'aij-UNIFAC (LLE)'!$D23/I$41</f>
        <v>0</v>
      </c>
      <c r="P36" s="96">
        <f>J36*'aij-UNIFAC (LLE)'!$D23/J$41</f>
        <v>0</v>
      </c>
      <c r="Q36" s="96">
        <f>K36*'aij-UNIFAC (LLE)'!$D23/K$41</f>
        <v>0</v>
      </c>
      <c r="R36" s="96">
        <f>L36*'aij-UNIFAC (LLE)'!$D23/L$41</f>
        <v>0</v>
      </c>
      <c r="S36" s="96">
        <f>M36*'aij-UNIFAC (LLE)'!$D23/M$41</f>
        <v>0</v>
      </c>
      <c r="T36" s="98">
        <f>N36*'aij-UNIFAC (LLE)'!$D23/N$41</f>
        <v>0</v>
      </c>
      <c r="U36" s="95">
        <v>0.97974069669273023</v>
      </c>
      <c r="V36" s="96">
        <v>0.27671815405927053</v>
      </c>
      <c r="W36" s="96">
        <v>19.398195296491945</v>
      </c>
      <c r="X36" s="99">
        <v>0.25737155356737179</v>
      </c>
      <c r="Y36" s="99">
        <v>0.89713317416883609</v>
      </c>
      <c r="Z36" s="100">
        <v>1.9951846996324356</v>
      </c>
      <c r="AA36" s="101">
        <f t="shared" si="7"/>
        <v>0</v>
      </c>
      <c r="AB36" s="102">
        <f t="shared" si="8"/>
        <v>0</v>
      </c>
      <c r="AC36" s="102">
        <f t="shared" si="9"/>
        <v>0</v>
      </c>
      <c r="AD36" s="102">
        <f t="shared" si="10"/>
        <v>0</v>
      </c>
      <c r="AE36" s="102">
        <f t="shared" si="11"/>
        <v>0</v>
      </c>
      <c r="AF36" s="97">
        <f t="shared" si="12"/>
        <v>0</v>
      </c>
      <c r="AG36" s="95">
        <v>0.67596877718068393</v>
      </c>
      <c r="AH36" s="99">
        <v>1.9771964644818396</v>
      </c>
      <c r="AI36" s="99">
        <v>2.1567203960372066</v>
      </c>
      <c r="AJ36" s="99">
        <v>2.8027848881777229</v>
      </c>
      <c r="AK36" s="99">
        <v>2.9744133406881712</v>
      </c>
      <c r="AL36" s="100">
        <v>0.85106776773535142</v>
      </c>
      <c r="AM36" s="103">
        <f>'aij-UNIFAC (LLE)'!$D23*(1-LN(U36)-AG36)</f>
        <v>0.59529351230177641</v>
      </c>
      <c r="AN36" s="104">
        <f>'aij-UNIFAC (LLE)'!$D23*(1-LN(V36)-AH36)</f>
        <v>0.53146250613957524</v>
      </c>
      <c r="AO36" s="104">
        <f>'aij-UNIFAC (LLE)'!$D23*(1-LN(W36)-AI36)</f>
        <v>-7.1226439461940894</v>
      </c>
      <c r="AP36" s="104">
        <f>'aij-UNIFAC (LLE)'!$D23*(1-LN(X36)-AJ36)</f>
        <v>-0.76991106311854751</v>
      </c>
      <c r="AQ36" s="104">
        <f>'aij-UNIFAC (LLE)'!$D23*(1-LN(Y36)-AK36)</f>
        <v>-3.2242101907924399</v>
      </c>
      <c r="AR36" s="105">
        <f>'aij-UNIFAC (LLE)'!$D23*(1-LN(Z36)-AL36)</f>
        <v>-0.93623799466573332</v>
      </c>
      <c r="AS36" s="5"/>
      <c r="AT36" s="5"/>
    </row>
    <row r="37" spans="1:46">
      <c r="A37" s="35" t="str">
        <f>'aij-UNIFAC (LLE)'!B24</f>
        <v>CH2O</v>
      </c>
      <c r="B37" s="193">
        <f>'UNIFAC (LLEa)'!B38</f>
        <v>0</v>
      </c>
      <c r="C37" s="193">
        <f>'UNIFAC (LLEa)'!C38</f>
        <v>0</v>
      </c>
      <c r="D37" s="193">
        <f>'UNIFAC (LLEa)'!D38</f>
        <v>0</v>
      </c>
      <c r="E37" s="193">
        <f>'UNIFAC (LLEa)'!E38</f>
        <v>0</v>
      </c>
      <c r="F37" s="193">
        <f>'UNIFAC (LLEa)'!F38</f>
        <v>0</v>
      </c>
      <c r="G37" s="83">
        <f t="array" ref="G37">SUM(B37:F37*$B$21:$F$21)</f>
        <v>0</v>
      </c>
      <c r="H37" s="36" t="str">
        <f t="shared" si="0"/>
        <v>CH2O</v>
      </c>
      <c r="I37" s="95">
        <f t="shared" si="1"/>
        <v>0</v>
      </c>
      <c r="J37" s="96">
        <f t="shared" si="2"/>
        <v>0</v>
      </c>
      <c r="K37" s="96">
        <f t="shared" si="3"/>
        <v>0</v>
      </c>
      <c r="L37" s="96">
        <f t="shared" si="4"/>
        <v>0</v>
      </c>
      <c r="M37" s="96">
        <f t="shared" si="5"/>
        <v>0</v>
      </c>
      <c r="N37" s="97">
        <f t="shared" si="6"/>
        <v>0</v>
      </c>
      <c r="O37" s="95">
        <f>I37*'aij-UNIFAC (LLE)'!$D24/I$41</f>
        <v>0</v>
      </c>
      <c r="P37" s="96">
        <f>J37*'aij-UNIFAC (LLE)'!$D24/J$41</f>
        <v>0</v>
      </c>
      <c r="Q37" s="96">
        <f>K37*'aij-UNIFAC (LLE)'!$D24/K$41</f>
        <v>0</v>
      </c>
      <c r="R37" s="96">
        <f>L37*'aij-UNIFAC (LLE)'!$D24/L$41</f>
        <v>0</v>
      </c>
      <c r="S37" s="96">
        <f>M37*'aij-UNIFAC (LLE)'!$D24/M$41</f>
        <v>0</v>
      </c>
      <c r="T37" s="98">
        <f>N37*'aij-UNIFAC (LLE)'!$D24/N$41</f>
        <v>0</v>
      </c>
      <c r="U37" s="95">
        <v>0.89615964669970671</v>
      </c>
      <c r="V37" s="96">
        <v>0.66371740096666321</v>
      </c>
      <c r="W37" s="96">
        <v>0.98236240662377772</v>
      </c>
      <c r="X37" s="99">
        <v>0.24542353579941539</v>
      </c>
      <c r="Y37" s="99">
        <v>0.86412494336059542</v>
      </c>
      <c r="Z37" s="100">
        <v>0.88040786812195737</v>
      </c>
      <c r="AA37" s="101">
        <f t="shared" si="7"/>
        <v>0</v>
      </c>
      <c r="AB37" s="102">
        <f t="shared" si="8"/>
        <v>0</v>
      </c>
      <c r="AC37" s="102">
        <f t="shared" si="9"/>
        <v>0</v>
      </c>
      <c r="AD37" s="102">
        <f t="shared" si="10"/>
        <v>0</v>
      </c>
      <c r="AE37" s="102">
        <f t="shared" si="11"/>
        <v>0</v>
      </c>
      <c r="AF37" s="97">
        <f t="shared" si="12"/>
        <v>0</v>
      </c>
      <c r="AG37" s="95">
        <v>0.83708718436358731</v>
      </c>
      <c r="AH37" s="99">
        <v>0.75296836137463441</v>
      </c>
      <c r="AI37" s="99">
        <v>1.536877971176924</v>
      </c>
      <c r="AJ37" s="99">
        <v>0.55888658459326446</v>
      </c>
      <c r="AK37" s="99">
        <v>1.0541732946441482E-2</v>
      </c>
      <c r="AL37" s="100">
        <v>0.80086047706019237</v>
      </c>
      <c r="AM37" s="103">
        <f>'aij-UNIFAC (LLE)'!$D24*(1-LN(U37)-AG37)</f>
        <v>0.21258862590815356</v>
      </c>
      <c r="AN37" s="104">
        <f>'aij-UNIFAC (LLE)'!$D24*(1-LN(V37)-AH37)</f>
        <v>0.51240575854937087</v>
      </c>
      <c r="AO37" s="104">
        <f>'aij-UNIFAC (LLE)'!$D24*(1-LN(W37)-AI37)</f>
        <v>-0.40488472594617769</v>
      </c>
      <c r="AP37" s="104">
        <f>'aij-UNIFAC (LLE)'!$D24*(1-LN(X37)-AJ37)</f>
        <v>1.4397889418701248</v>
      </c>
      <c r="AQ37" s="104">
        <f>'aij-UNIFAC (LLE)'!$D24*(1-LN(Y37)-AK37)</f>
        <v>0.88568701830620877</v>
      </c>
      <c r="AR37" s="105">
        <f>'aij-UNIFAC (LLE)'!$D24*(1-LN(Z37)-AL37)</f>
        <v>0.25467742195284476</v>
      </c>
      <c r="AS37" s="5"/>
      <c r="AT37" s="5"/>
    </row>
    <row r="38" spans="1:46">
      <c r="A38" s="35" t="str">
        <f>'aij-UNIFAC (LLE)'!B25</f>
        <v>CHCL2</v>
      </c>
      <c r="B38" s="193">
        <f>'UNIFAC (LLEa)'!B39</f>
        <v>0</v>
      </c>
      <c r="C38" s="193">
        <f>'UNIFAC (LLEa)'!C39</f>
        <v>0</v>
      </c>
      <c r="D38" s="193">
        <f>'UNIFAC (LLEa)'!D39</f>
        <v>0</v>
      </c>
      <c r="E38" s="193">
        <f>'UNIFAC (LLEa)'!E39</f>
        <v>0</v>
      </c>
      <c r="F38" s="193">
        <f>'UNIFAC (LLEa)'!F39</f>
        <v>0</v>
      </c>
      <c r="G38" s="83">
        <f t="array" ref="G38">SUM(B38:F38*$B$21:$F$21)</f>
        <v>0</v>
      </c>
      <c r="H38" s="36" t="str">
        <f t="shared" si="0"/>
        <v>CHCL2</v>
      </c>
      <c r="I38" s="95">
        <f t="shared" si="1"/>
        <v>0</v>
      </c>
      <c r="J38" s="96">
        <f t="shared" si="2"/>
        <v>0</v>
      </c>
      <c r="K38" s="96">
        <f t="shared" si="3"/>
        <v>0</v>
      </c>
      <c r="L38" s="96">
        <f t="shared" si="4"/>
        <v>0</v>
      </c>
      <c r="M38" s="96">
        <f t="shared" si="5"/>
        <v>0</v>
      </c>
      <c r="N38" s="97">
        <f t="shared" si="6"/>
        <v>0</v>
      </c>
      <c r="O38" s="95">
        <f>I38*'aij-UNIFAC (LLE)'!$D25/I$41</f>
        <v>0</v>
      </c>
      <c r="P38" s="96">
        <f>J38*'aij-UNIFAC (LLE)'!$D25/J$41</f>
        <v>0</v>
      </c>
      <c r="Q38" s="96">
        <f>K38*'aij-UNIFAC (LLE)'!$D25/K$41</f>
        <v>0</v>
      </c>
      <c r="R38" s="96">
        <f>L38*'aij-UNIFAC (LLE)'!$D25/L$41</f>
        <v>0</v>
      </c>
      <c r="S38" s="96">
        <f>M38*'aij-UNIFAC (LLE)'!$D25/M$41</f>
        <v>0</v>
      </c>
      <c r="T38" s="98">
        <f>N38*'aij-UNIFAC (LLE)'!$D25/N$41</f>
        <v>0</v>
      </c>
      <c r="U38" s="95">
        <v>1</v>
      </c>
      <c r="V38" s="96">
        <v>2.6126716919730422</v>
      </c>
      <c r="W38" s="96">
        <v>1.1226874140973466</v>
      </c>
      <c r="X38" s="99">
        <v>1.415629433523935</v>
      </c>
      <c r="Y38" s="99">
        <v>0.94243781851808239</v>
      </c>
      <c r="Z38" s="100">
        <v>1.1514833513349962</v>
      </c>
      <c r="AA38" s="101">
        <f t="shared" si="7"/>
        <v>0</v>
      </c>
      <c r="AB38" s="102">
        <f t="shared" si="8"/>
        <v>0</v>
      </c>
      <c r="AC38" s="102">
        <f t="shared" si="9"/>
        <v>0</v>
      </c>
      <c r="AD38" s="102">
        <f t="shared" si="10"/>
        <v>0</v>
      </c>
      <c r="AE38" s="102">
        <f t="shared" si="11"/>
        <v>0</v>
      </c>
      <c r="AF38" s="97">
        <f t="shared" si="12"/>
        <v>0</v>
      </c>
      <c r="AG38" s="95">
        <v>1</v>
      </c>
      <c r="AH38" s="99">
        <v>0.51636815801581604</v>
      </c>
      <c r="AI38" s="99">
        <v>0.9993893234078739</v>
      </c>
      <c r="AJ38" s="99">
        <v>0.79950084704286728</v>
      </c>
      <c r="AK38" s="99">
        <v>1.062854011111166</v>
      </c>
      <c r="AL38" s="100">
        <v>0.93891928207036757</v>
      </c>
      <c r="AM38" s="103">
        <f>'aij-UNIFAC (LLE)'!$D25*(1-LN(U38)-AG38)</f>
        <v>0</v>
      </c>
      <c r="AN38" s="104">
        <f>'aij-UNIFAC (LLE)'!$D25*(1-LN(V38)-AH38)</f>
        <v>-0.80283267347581888</v>
      </c>
      <c r="AO38" s="104">
        <f>'aij-UNIFAC (LLE)'!$D25*(1-LN(W38)-AI38)</f>
        <v>-0.1938530056642746</v>
      </c>
      <c r="AP38" s="104">
        <f>'aij-UNIFAC (LLE)'!$D25*(1-LN(X38)-AJ38)</f>
        <v>-0.24767448284259391</v>
      </c>
      <c r="AQ38" s="104">
        <f>'aij-UNIFAC (LLE)'!$D25*(1-LN(Y38)-AK38)</f>
        <v>-6.0096473993090415E-3</v>
      </c>
      <c r="AR38" s="105">
        <f>'aij-UNIFAC (LLE)'!$D25*(1-LN(Z38)-AL38)</f>
        <v>-0.13466992458108826</v>
      </c>
      <c r="AS38" s="5"/>
      <c r="AT38" s="5"/>
    </row>
    <row r="39" spans="1:46">
      <c r="A39" s="35" t="str">
        <f>'aij-UNIFAC (LLE)'!B26</f>
        <v>CCL3</v>
      </c>
      <c r="B39" s="193">
        <f>'UNIFAC (LLEa)'!B40</f>
        <v>0</v>
      </c>
      <c r="C39" s="193">
        <f>'UNIFAC (LLEa)'!C40</f>
        <v>0</v>
      </c>
      <c r="D39" s="193">
        <f>'UNIFAC (LLEa)'!D40</f>
        <v>1</v>
      </c>
      <c r="E39" s="193">
        <f>'UNIFAC (LLEa)'!E40</f>
        <v>0</v>
      </c>
      <c r="F39" s="193">
        <f>'UNIFAC (LLEa)'!F40</f>
        <v>0</v>
      </c>
      <c r="G39" s="83">
        <f t="array" ref="G39">SUM(B39:F39*$B$21:$F$21)</f>
        <v>8.8083679007636306E-2</v>
      </c>
      <c r="H39" s="36" t="str">
        <f t="shared" si="0"/>
        <v>CCL3</v>
      </c>
      <c r="I39" s="95">
        <f t="shared" si="1"/>
        <v>0</v>
      </c>
      <c r="J39" s="96">
        <f t="shared" si="2"/>
        <v>0</v>
      </c>
      <c r="K39" s="96">
        <f t="shared" si="3"/>
        <v>0.5</v>
      </c>
      <c r="L39" s="96">
        <f t="shared" si="4"/>
        <v>0</v>
      </c>
      <c r="M39" s="96">
        <f t="shared" si="5"/>
        <v>0</v>
      </c>
      <c r="N39" s="97">
        <f t="shared" si="6"/>
        <v>1.0763793442566167E-2</v>
      </c>
      <c r="O39" s="95">
        <f>I39*'aij-UNIFAC (LLE)'!$D26/I$41</f>
        <v>0</v>
      </c>
      <c r="P39" s="96">
        <f>J39*'aij-UNIFAC (LLE)'!$D26/J$41</f>
        <v>0</v>
      </c>
      <c r="Q39" s="96">
        <f>K39*'aij-UNIFAC (LLE)'!$D26/K$41</f>
        <v>0.90547263681592027</v>
      </c>
      <c r="R39" s="96">
        <f>L39*'aij-UNIFAC (LLE)'!$D26/L$41</f>
        <v>0</v>
      </c>
      <c r="S39" s="96">
        <f>M39*'aij-UNIFAC (LLE)'!$D26/M$41</f>
        <v>0</v>
      </c>
      <c r="T39" s="98">
        <f>N39*'aij-UNIFAC (LLE)'!$D26/N$41</f>
        <v>5.3012929420713693E-2</v>
      </c>
      <c r="U39" s="95">
        <v>2.2057389907334417</v>
      </c>
      <c r="V39" s="96">
        <v>0.96526118341029254</v>
      </c>
      <c r="W39" s="96">
        <v>0.99761226997562313</v>
      </c>
      <c r="X39" s="99">
        <v>1.0948207787602144</v>
      </c>
      <c r="Y39" s="99">
        <v>0.9001833751108701</v>
      </c>
      <c r="Z39" s="100">
        <v>2.0240097145983715</v>
      </c>
      <c r="AA39" s="101">
        <f t="shared" si="7"/>
        <v>0</v>
      </c>
      <c r="AB39" s="102">
        <f t="shared" si="8"/>
        <v>0</v>
      </c>
      <c r="AC39" s="102">
        <f t="shared" si="9"/>
        <v>0.90763983570294871</v>
      </c>
      <c r="AD39" s="102">
        <f t="shared" si="10"/>
        <v>0</v>
      </c>
      <c r="AE39" s="102">
        <f t="shared" si="11"/>
        <v>0</v>
      </c>
      <c r="AF39" s="97">
        <f t="shared" si="12"/>
        <v>2.6192033090727117E-2</v>
      </c>
      <c r="AG39" s="95">
        <v>0.37376134007261957</v>
      </c>
      <c r="AH39" s="99">
        <v>15.401868721135099</v>
      </c>
      <c r="AI39" s="99">
        <v>1.0015008165314143</v>
      </c>
      <c r="AJ39" s="99">
        <v>0.93809811718185665</v>
      </c>
      <c r="AK39" s="99">
        <v>1.1242286915568096</v>
      </c>
      <c r="AL39" s="100">
        <v>1.2959555125272026</v>
      </c>
      <c r="AM39" s="103">
        <f>'aij-UNIFAC (LLE)'!$D26*(1-LN(U39)-AG39)</f>
        <v>-0.35997547625296911</v>
      </c>
      <c r="AN39" s="104">
        <f>'aij-UNIFAC (LLE)'!$D26*(1-LN(V39)-AH39)</f>
        <v>-31.376462564548572</v>
      </c>
      <c r="AO39" s="104">
        <f>'aij-UNIFAC (LLE)'!$D26*(1-LN(W39)-AI39)</f>
        <v>1.9432547668157911E-3</v>
      </c>
      <c r="AP39" s="104">
        <f>'aij-UNIFAC (LLE)'!$D26*(1-LN(X39)-AJ39)</f>
        <v>-6.2656327601729622E-2</v>
      </c>
      <c r="AQ39" s="104">
        <f>'aij-UNIFAC (LLE)'!$D26*(1-LN(Y39)-AK39)</f>
        <v>-4.1653041105170305E-2</v>
      </c>
      <c r="AR39" s="105">
        <f>'aij-UNIFAC (LLE)'!$D26*(1-LN(Z39)-AL39)</f>
        <v>-2.1862627629977447</v>
      </c>
      <c r="AS39" s="5"/>
      <c r="AT39" s="5"/>
    </row>
    <row r="40" spans="1:46">
      <c r="A40" s="35" t="str">
        <f>'aij-UNIFAC (LLE)'!B27</f>
        <v>ACNH2</v>
      </c>
      <c r="B40" s="193">
        <f>'UNIFAC (LLEa)'!B41</f>
        <v>0</v>
      </c>
      <c r="C40" s="193">
        <f>'UNIFAC (LLEa)'!C41</f>
        <v>0</v>
      </c>
      <c r="D40" s="193">
        <f>'UNIFAC (LLEa)'!D41</f>
        <v>0</v>
      </c>
      <c r="E40" s="193">
        <f>'UNIFAC (LLEa)'!E41</f>
        <v>0</v>
      </c>
      <c r="F40" s="193">
        <f>'UNIFAC (LLEa)'!F41</f>
        <v>0</v>
      </c>
      <c r="G40" s="83">
        <f t="array" ref="G40">SUM(B40:F40*$B$21:$F$21)</f>
        <v>0</v>
      </c>
      <c r="H40" s="36" t="str">
        <f t="shared" si="0"/>
        <v>ACNH2</v>
      </c>
      <c r="I40" s="107">
        <f t="shared" si="1"/>
        <v>0</v>
      </c>
      <c r="J40" s="108">
        <f t="shared" si="2"/>
        <v>0</v>
      </c>
      <c r="K40" s="108">
        <f t="shared" si="3"/>
        <v>0</v>
      </c>
      <c r="L40" s="108">
        <f t="shared" si="4"/>
        <v>0</v>
      </c>
      <c r="M40" s="108">
        <f t="shared" si="5"/>
        <v>0</v>
      </c>
      <c r="N40" s="109">
        <f t="shared" si="6"/>
        <v>0</v>
      </c>
      <c r="O40" s="107">
        <f>I40*'aij-UNIFAC (LLE)'!$D27/I$41</f>
        <v>0</v>
      </c>
      <c r="P40" s="108">
        <f>J40*'aij-UNIFAC (LLE)'!$D27/J$41</f>
        <v>0</v>
      </c>
      <c r="Q40" s="108">
        <f>K40*'aij-UNIFAC (LLE)'!$D27/K$41</f>
        <v>0</v>
      </c>
      <c r="R40" s="108">
        <f>L40*'aij-UNIFAC (LLE)'!$D27/L$41</f>
        <v>0</v>
      </c>
      <c r="S40" s="108">
        <f>M40*'aij-UNIFAC (LLE)'!$D27/M$41</f>
        <v>0</v>
      </c>
      <c r="T40" s="110">
        <f>N40*'aij-UNIFAC (LLE)'!$D27/N$41</f>
        <v>0</v>
      </c>
      <c r="U40" s="107">
        <v>0.99442121395163907</v>
      </c>
      <c r="V40" s="108">
        <v>3.7039926287750644E-2</v>
      </c>
      <c r="W40" s="108">
        <v>1.1758128032209367</v>
      </c>
      <c r="X40" s="111">
        <v>1.5454890084835269</v>
      </c>
      <c r="Y40" s="111">
        <v>4.2598226470198244E-2</v>
      </c>
      <c r="Z40" s="112">
        <v>0.91937561786878419</v>
      </c>
      <c r="AA40" s="113">
        <f t="shared" si="7"/>
        <v>0</v>
      </c>
      <c r="AB40" s="114">
        <f t="shared" si="8"/>
        <v>0</v>
      </c>
      <c r="AC40" s="114">
        <f t="shared" si="9"/>
        <v>0</v>
      </c>
      <c r="AD40" s="114">
        <f t="shared" si="10"/>
        <v>0</v>
      </c>
      <c r="AE40" s="114">
        <f t="shared" si="11"/>
        <v>0</v>
      </c>
      <c r="AF40" s="109">
        <f t="shared" si="12"/>
        <v>0</v>
      </c>
      <c r="AG40" s="107">
        <v>2.1100606643178348</v>
      </c>
      <c r="AH40" s="111">
        <v>0.27705236292618396</v>
      </c>
      <c r="AI40" s="111">
        <v>1.9536621056797756</v>
      </c>
      <c r="AJ40" s="111">
        <v>0.57399026505164041</v>
      </c>
      <c r="AK40" s="111">
        <v>0.61531213397424811</v>
      </c>
      <c r="AL40" s="112">
        <v>1.8839325707921006</v>
      </c>
      <c r="AM40" s="115">
        <f>'aij-UNIFAC (LLE)'!$D27*(1-LN(U40)-AG40)</f>
        <v>-0.90124446711831829</v>
      </c>
      <c r="AN40" s="116">
        <f>'aij-UNIFAC (LLE)'!$D27*(1-LN(V40)-AH40)</f>
        <v>3.279264501022809</v>
      </c>
      <c r="AO40" s="116">
        <f>'aij-UNIFAC (LLE)'!$D27*(1-LN(W40)-AI40)</f>
        <v>-0.9103473574256189</v>
      </c>
      <c r="AP40" s="116">
        <f>'aij-UNIFAC (LLE)'!$D27*(1-LN(X40)-AJ40)</f>
        <v>-7.6137987049585115E-3</v>
      </c>
      <c r="AQ40" s="116">
        <f>'aij-UNIFAC (LLE)'!$D27*(1-LN(Y40)-AK40)</f>
        <v>2.8891545081994083</v>
      </c>
      <c r="AR40" s="117">
        <f>'aij-UNIFAC (LLE)'!$D27*(1-LN(Z40)-AL40)</f>
        <v>-0.65269559705829772</v>
      </c>
      <c r="AS40" s="5"/>
      <c r="AT40" s="5"/>
    </row>
    <row r="41" spans="1:46">
      <c r="A41" s="82" t="s">
        <v>141</v>
      </c>
      <c r="B41" s="83">
        <f>B21*SUM(B23:B40)</f>
        <v>7.7291631056509438</v>
      </c>
      <c r="C41" s="83">
        <f>C21*SUM(C23:C40)</f>
        <v>0.27800002085453873</v>
      </c>
      <c r="D41" s="83">
        <f>D21*SUM(D23:D40)</f>
        <v>0.17616735801527261</v>
      </c>
      <c r="E41" s="83">
        <f>E21*SUM(E23:E40)</f>
        <v>2.9999999999999997E-20</v>
      </c>
      <c r="F41" s="83">
        <f>F21*SUM(F23:F40)</f>
        <v>1.9999999999999999E-20</v>
      </c>
      <c r="G41" s="83">
        <f>SUM(B41:F41)</f>
        <v>8.183330484520754</v>
      </c>
      <c r="H41" s="118" t="s">
        <v>142</v>
      </c>
      <c r="I41" s="36">
        <f t="array" ref="I41">SUM(I23:I40*_QL)</f>
        <v>0.4</v>
      </c>
      <c r="J41" s="36">
        <f t="array" ref="J41">SUM(J23:J40*_QL)</f>
        <v>1.1679999999999999</v>
      </c>
      <c r="K41" s="36">
        <f t="array" ref="K41">SUM(K23:K40*_QL)</f>
        <v>1.2060000000000002</v>
      </c>
      <c r="L41" s="36">
        <f t="array" ref="L41">SUM(L23:L40*_QL)</f>
        <v>0.86266666666666658</v>
      </c>
      <c r="M41" s="36">
        <f t="array" ref="M41">SUM(M23:M40*_QL)</f>
        <v>1.036</v>
      </c>
      <c r="N41" s="36">
        <f t="array" ref="N41">SUM(N23:N40*_QL)</f>
        <v>0.44344134790218181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 s="5"/>
      <c r="AT41" s="5"/>
    </row>
    <row r="42" spans="1:46">
      <c r="A42" s="35" t="s">
        <v>143</v>
      </c>
      <c r="B42" s="119">
        <f>SUM(B23:B40)</f>
        <v>10</v>
      </c>
      <c r="C42" s="119">
        <f>SUM(C23:C40)</f>
        <v>2</v>
      </c>
      <c r="D42" s="119">
        <f>SUM(D23:D40)</f>
        <v>2</v>
      </c>
      <c r="E42" s="119">
        <f>SUM(E23:E40)</f>
        <v>3</v>
      </c>
      <c r="F42" s="119">
        <f>SUM(F23:F40)</f>
        <v>2</v>
      </c>
      <c r="G42" s="120"/>
      <c r="H42" s="34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/>
      <c r="B43" s="119"/>
      <c r="C43" s="119"/>
      <c r="D43" s="119"/>
      <c r="E43" s="119"/>
      <c r="F43" s="119"/>
      <c r="G43" s="12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72" t="s">
        <v>44</v>
      </c>
      <c r="B44" s="58">
        <f t="array" ref="B44">SUM(B23:B40*_QL)</f>
        <v>4</v>
      </c>
      <c r="C44" s="58">
        <f t="array" ref="C44">SUM(C23:C40*_QL)</f>
        <v>2.3359999999999999</v>
      </c>
      <c r="D44" s="58">
        <f t="array" ref="D44">SUM(D23:D40*_QL)</f>
        <v>2.4120000000000004</v>
      </c>
      <c r="E44" s="58">
        <f t="array" ref="E44">SUM(E23:E40*_QL)</f>
        <v>2.5880000000000001</v>
      </c>
      <c r="F44" s="58">
        <f t="array" ref="F44">SUM(F23:F40*_QL)</f>
        <v>2.0720000000000001</v>
      </c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35" t="s">
        <v>43</v>
      </c>
      <c r="B45" s="58">
        <f t="array" ref="B45">SUM(B23:B40*_RL)</f>
        <v>5.3129999999999997</v>
      </c>
      <c r="C45" s="58">
        <f t="array" ref="C45">SUM(C23:C40*_RL)</f>
        <v>2.5735000000000001</v>
      </c>
      <c r="D45" s="58">
        <f t="array" ref="D45">SUM(D23:D40*_RL)</f>
        <v>3.0869999999999997</v>
      </c>
      <c r="E45" s="58">
        <f t="array" ref="E45">SUM(E23:E40*_RL)</f>
        <v>2.5754999999999999</v>
      </c>
      <c r="F45" s="58">
        <f t="array" ref="F45">SUM(F23:F40*_RL)</f>
        <v>2.2023999999999999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82" t="s">
        <v>144</v>
      </c>
      <c r="B46" s="58">
        <f>B21*B44/SUMPRODUCT($B44:$F44,$B21:$F21)</f>
        <v>0.85197369748822005</v>
      </c>
      <c r="C46" s="58">
        <f>C21*C44/SUMPRODUCT($B44:$F44,$B21:$F21)</f>
        <v>8.9479056283409297E-2</v>
      </c>
      <c r="D46" s="58">
        <f>D21*D44/SUMPRODUCT($B44:$F44,$B21:$F21)</f>
        <v>5.8547246228370625E-2</v>
      </c>
      <c r="E46" s="58">
        <f>E21*E44/SUMPRODUCT($B44:$F44,$B21:$F21)</f>
        <v>7.1317809540319499E-21</v>
      </c>
      <c r="F46" s="58">
        <f>F21*F44/SUMPRODUCT($B44:$F44,$B21:$F21)</f>
        <v>5.7098339013733387E-21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145</v>
      </c>
      <c r="B47" s="58">
        <f>B21*B45/SUMPRODUCT($B45:$F45,$B21:$F21)</f>
        <v>0.86705809334367812</v>
      </c>
      <c r="C47" s="58">
        <f>C21*C45/SUMPRODUCT($B45:$F45,$B21:$F21)</f>
        <v>7.5529205054424189E-2</v>
      </c>
      <c r="D47" s="58">
        <f>D21*D45/SUMPRODUCT($B45:$F45,$B21:$F21)</f>
        <v>5.7412701601897591E-2</v>
      </c>
      <c r="E47" s="58">
        <f>E21*E45/SUMPRODUCT($B45:$F45,$B21:$F21)</f>
        <v>5.4379782041109257E-21</v>
      </c>
      <c r="F47" s="58">
        <f>F21*F45/SUMPRODUCT($B45:$F45,$B21:$F21)</f>
        <v>4.6502050851228515E-21</v>
      </c>
      <c r="G47" s="1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72" t="s">
        <v>146</v>
      </c>
      <c r="B48" s="58">
        <f>LN(B47/B21)+(1-B47/B21)-5*B44*(LN(B47/B46)+(1-B47/B46))</f>
        <v>-3.7673053922587102E-3</v>
      </c>
      <c r="C48" s="58">
        <f>LN(C47/C21)+(1-C47/C21)-5*C44*(LN(C47/C46)+(1-C47/C46))</f>
        <v>5.336177129840719E-3</v>
      </c>
      <c r="D48" s="58">
        <f>LN(D47/D21)+(1-D47/D21)-5*D44*(LN(D47/D46)+(1-D47/D46))</f>
        <v>-7.7524914771033696E-2</v>
      </c>
      <c r="E48" s="58">
        <f>LN(E47/E21)+(1-E47/E21)-5*E44*(LN(E47/E46)+(1-E47/E46))</f>
        <v>0.2824939726379872</v>
      </c>
      <c r="F48" s="58">
        <f>LN(F47/F21)+(1-F47/F21)-5*F44*(LN(F47/F46)+(1-F47/F46))</f>
        <v>-2.6612748752732424E-2</v>
      </c>
      <c r="G48" s="121"/>
      <c r="I48" s="122"/>
    </row>
    <row r="49" spans="1:7">
      <c r="A49" s="72" t="s">
        <v>147</v>
      </c>
      <c r="B49" s="58">
        <f t="array" ref="B49">SUM(B23:B35*AM23:AM35)</f>
        <v>0</v>
      </c>
      <c r="C49" s="58">
        <f t="array" ref="C49">SUM(C23:C35*AN23:AN35)</f>
        <v>0.62839316806250023</v>
      </c>
      <c r="D49" s="58">
        <f t="array" ref="D49">SUM(D23:D35*AO23:AO35)</f>
        <v>1.8176596701961752E-2</v>
      </c>
      <c r="E49" s="58">
        <f t="array" ref="E49">SUM(E23:E35*AP23:AP35)</f>
        <v>1.2971332369839292</v>
      </c>
      <c r="F49" s="58">
        <f t="array" ref="F49">SUM(F23:F35*AQ23:AQ35)</f>
        <v>0.96038290057618036</v>
      </c>
      <c r="G49" s="121"/>
    </row>
    <row r="50" spans="1:7">
      <c r="A50" s="72" t="s">
        <v>148</v>
      </c>
      <c r="B50" s="58">
        <f t="array" ref="B50">SUM(B23:B35*$AR23:$AR35)</f>
        <v>0.1902324461723981</v>
      </c>
      <c r="C50" s="58">
        <f t="array" ref="C50">SUM(C23:C35*$AR23:$AR35)</f>
        <v>-0.3549257796316832</v>
      </c>
      <c r="D50" s="58">
        <f t="array" ref="D50">SUM(D23:D35*$AR23:$AR35)</f>
        <v>2.3894445034676727E-2</v>
      </c>
      <c r="E50" s="58">
        <f t="array" ref="E50">SUM(E23:E35*$AR23:$AR35)</f>
        <v>2.7097932414765147</v>
      </c>
      <c r="F50" s="58">
        <f t="array" ref="F50">SUM(F23:F35*$AR23:$AR35)</f>
        <v>2.2659692201036177</v>
      </c>
    </row>
  </sheetData>
  <sheetProtection sheet="1" objects="1" scenarios="1"/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X62"/>
  <sheetViews>
    <sheetView topLeftCell="A3" zoomScale="150" zoomScaleNormal="150" zoomScalePageLayoutView="150" workbookViewId="0">
      <pane xSplit="2" topLeftCell="C1" activePane="topRight" state="frozen"/>
      <selection activeCell="A4" sqref="A4"/>
      <selection pane="topRight"/>
    </sheetView>
  </sheetViews>
  <sheetFormatPr baseColWidth="10" defaultColWidth="9.1640625" defaultRowHeight="16"/>
  <cols>
    <col min="1" max="1" width="9.1640625" style="40" customWidth="1"/>
    <col min="2" max="2" width="8.1640625" style="39" customWidth="1"/>
    <col min="3" max="3" width="5.1640625" style="39" customWidth="1"/>
    <col min="4" max="4" width="7.6640625" style="39" customWidth="1"/>
    <col min="5" max="5" width="5.1640625" style="39" customWidth="1"/>
    <col min="6" max="6" width="5.6640625" style="39" customWidth="1"/>
    <col min="7" max="7" width="6.33203125" style="39" customWidth="1"/>
    <col min="8" max="9" width="6.1640625" style="39" customWidth="1"/>
    <col min="10" max="10" width="7" style="39" customWidth="1"/>
    <col min="11" max="11" width="5.1640625" style="39" customWidth="1"/>
    <col min="12" max="12" width="6.1640625" style="39" customWidth="1"/>
    <col min="13" max="14" width="5.6640625" style="39" customWidth="1"/>
    <col min="15" max="15" width="6.83203125" style="39" customWidth="1"/>
    <col min="16" max="16" width="5.1640625" style="39" customWidth="1"/>
    <col min="17" max="17" width="5.6640625" style="39" customWidth="1"/>
    <col min="18" max="18" width="7.33203125" style="39" customWidth="1"/>
    <col min="19" max="21" width="5.6640625" style="39" customWidth="1"/>
    <col min="22" max="22" width="6.33203125" style="39" customWidth="1"/>
    <col min="23" max="23" width="7.33203125" style="39" customWidth="1"/>
    <col min="24" max="24" width="9.1640625" style="39" customWidth="1"/>
    <col min="25" max="16384" width="9.1640625" style="40"/>
  </cols>
  <sheetData>
    <row r="1" spans="1:23">
      <c r="A1" s="123" t="s">
        <v>177</v>
      </c>
      <c r="K1"/>
    </row>
    <row r="2" spans="1:23">
      <c r="A2" s="123" t="s">
        <v>151</v>
      </c>
      <c r="K2"/>
    </row>
    <row r="3" spans="1:23" s="123" customFormat="1" ht="15">
      <c r="A3" s="123" t="s">
        <v>178</v>
      </c>
      <c r="K3"/>
    </row>
    <row r="4" spans="1:23" s="123" customFormat="1" ht="13">
      <c r="A4" s="123" t="s">
        <v>152</v>
      </c>
      <c r="K4"/>
    </row>
    <row r="5" spans="1:23" s="123" customFormat="1" ht="13">
      <c r="A5" s="123" t="s">
        <v>153</v>
      </c>
      <c r="J5" s="123" t="s">
        <v>179</v>
      </c>
      <c r="K5"/>
    </row>
    <row r="6" spans="1:23" s="123" customFormat="1" ht="13">
      <c r="A6" s="5" t="s">
        <v>154</v>
      </c>
      <c r="B6" s="123">
        <f>'UNIFAC (LLEa)'!B11</f>
        <v>20</v>
      </c>
      <c r="C6" s="123" t="s">
        <v>127</v>
      </c>
      <c r="J6" s="139" t="s">
        <v>180</v>
      </c>
      <c r="K6"/>
    </row>
    <row r="7" spans="1:23" ht="18">
      <c r="B7"/>
      <c r="C7"/>
      <c r="D7" s="43"/>
      <c r="E7" s="124" t="s">
        <v>155</v>
      </c>
      <c r="F7" s="43"/>
      <c r="G7" s="43"/>
      <c r="H7" s="43"/>
      <c r="I7" s="148" t="s">
        <v>181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3" s="147" customFormat="1" ht="13">
      <c r="A8" s="150" t="s">
        <v>156</v>
      </c>
      <c r="B8" s="149"/>
      <c r="C8" s="149"/>
      <c r="E8" s="147">
        <f>A10</f>
        <v>1</v>
      </c>
      <c r="F8" s="147">
        <f>A11</f>
        <v>0</v>
      </c>
      <c r="G8" s="147">
        <f>A12</f>
        <v>0</v>
      </c>
      <c r="H8" s="147">
        <f>A13</f>
        <v>3</v>
      </c>
      <c r="I8" s="147">
        <f>A14</f>
        <v>4</v>
      </c>
      <c r="J8" s="147">
        <f>A15</f>
        <v>0</v>
      </c>
      <c r="K8" s="147">
        <f>A16</f>
        <v>5</v>
      </c>
      <c r="L8" s="147">
        <f>A17</f>
        <v>7</v>
      </c>
      <c r="M8" s="147">
        <f>A18</f>
        <v>8</v>
      </c>
      <c r="N8" s="147">
        <f>A19</f>
        <v>9</v>
      </c>
      <c r="O8" s="147">
        <f>A20</f>
        <v>10</v>
      </c>
      <c r="P8" s="147">
        <f>A21</f>
        <v>11</v>
      </c>
      <c r="Q8" s="147">
        <f>A22</f>
        <v>13</v>
      </c>
      <c r="R8" s="147">
        <f>A23</f>
        <v>14</v>
      </c>
      <c r="S8" s="147">
        <f>A24</f>
        <v>15</v>
      </c>
      <c r="T8" s="147">
        <f>A25</f>
        <v>17</v>
      </c>
      <c r="U8" s="147">
        <f>A26</f>
        <v>18</v>
      </c>
      <c r="V8" s="147">
        <f>A27</f>
        <v>22</v>
      </c>
    </row>
    <row r="9" spans="1:23">
      <c r="A9" s="123" t="s">
        <v>157</v>
      </c>
      <c r="B9"/>
      <c r="C9" s="125" t="s">
        <v>158</v>
      </c>
      <c r="D9" s="125" t="s">
        <v>133</v>
      </c>
      <c r="E9" s="125" t="str">
        <f>B10</f>
        <v>CH3</v>
      </c>
      <c r="F9" s="125" t="str">
        <f>B11</f>
        <v>CH2</v>
      </c>
      <c r="G9" s="125" t="str">
        <f>B12</f>
        <v>CH</v>
      </c>
      <c r="H9" s="125" t="str">
        <f>B13</f>
        <v>ACH</v>
      </c>
      <c r="I9" s="125" t="str">
        <f>B14</f>
        <v>ACCH2</v>
      </c>
      <c r="J9" s="125" t="str">
        <f>B15</f>
        <v>ACCH3</v>
      </c>
      <c r="K9" s="125" t="str">
        <f>B16</f>
        <v>OH</v>
      </c>
      <c r="L9" s="125" t="str">
        <f>B17</f>
        <v>2-Propanol</v>
      </c>
      <c r="M9" s="125" t="str">
        <f>B18</f>
        <v>H2O</v>
      </c>
      <c r="N9" s="125" t="str">
        <f>B19</f>
        <v>ACOH</v>
      </c>
      <c r="O9" s="125" t="str">
        <f>B20</f>
        <v>CH3CO</v>
      </c>
      <c r="P9" s="125" t="str">
        <f>B21</f>
        <v>CHO</v>
      </c>
      <c r="Q9" s="125" t="str">
        <f>B22</f>
        <v>COOH</v>
      </c>
      <c r="R9" s="132" t="str">
        <f>B23</f>
        <v>CH3COO</v>
      </c>
      <c r="S9" s="132" t="str">
        <f>B24</f>
        <v>CH2O</v>
      </c>
      <c r="T9" s="132" t="str">
        <f>B25</f>
        <v>CHCL2</v>
      </c>
      <c r="U9" s="132" t="str">
        <f>B26</f>
        <v>CCL3</v>
      </c>
      <c r="V9" s="132" t="str">
        <f>B27</f>
        <v>ACNH2</v>
      </c>
      <c r="W9" s="41"/>
    </row>
    <row r="10" spans="1:23">
      <c r="A10" s="40">
        <v>1</v>
      </c>
      <c r="B10" s="126" t="s">
        <v>159</v>
      </c>
      <c r="C10" s="129">
        <v>0.90110000000000001</v>
      </c>
      <c r="D10" s="131">
        <v>0.84799999999999998</v>
      </c>
      <c r="E10" s="129">
        <v>0</v>
      </c>
      <c r="F10" s="130">
        <v>0</v>
      </c>
      <c r="G10" s="130">
        <v>0</v>
      </c>
      <c r="H10" s="130">
        <v>-114.8</v>
      </c>
      <c r="I10" s="130">
        <v>-115.7</v>
      </c>
      <c r="J10" s="130">
        <v>-115.7</v>
      </c>
      <c r="K10" s="130">
        <v>644.6</v>
      </c>
      <c r="L10" s="130">
        <v>310.7</v>
      </c>
      <c r="M10" s="130">
        <v>1300</v>
      </c>
      <c r="N10" s="130">
        <v>2255</v>
      </c>
      <c r="O10" s="130">
        <v>472.6</v>
      </c>
      <c r="P10" s="130">
        <v>158.1</v>
      </c>
      <c r="Q10" s="130">
        <v>139.4</v>
      </c>
      <c r="R10" s="130">
        <v>972.4</v>
      </c>
      <c r="S10" s="130">
        <v>662.1</v>
      </c>
      <c r="T10" s="130">
        <v>-243.9</v>
      </c>
      <c r="U10" s="130">
        <v>7.5</v>
      </c>
      <c r="V10" s="131">
        <v>902.2</v>
      </c>
      <c r="W10" s="132" t="str">
        <f t="shared" ref="W10:W27" si="0">B10</f>
        <v>CH3</v>
      </c>
    </row>
    <row r="11" spans="1:23">
      <c r="B11" s="126" t="s">
        <v>160</v>
      </c>
      <c r="C11" s="127">
        <v>0.6744</v>
      </c>
      <c r="D11" s="128">
        <v>0.54</v>
      </c>
      <c r="E11" s="127">
        <v>0</v>
      </c>
      <c r="F11" s="133">
        <v>0</v>
      </c>
      <c r="G11" s="133">
        <v>0</v>
      </c>
      <c r="H11" s="133">
        <v>-114.8</v>
      </c>
      <c r="I11" s="133">
        <v>-115.7</v>
      </c>
      <c r="J11" s="133">
        <v>-115.7</v>
      </c>
      <c r="K11" s="133">
        <v>644.6</v>
      </c>
      <c r="L11" s="133">
        <v>310.7</v>
      </c>
      <c r="M11" s="133">
        <v>1300</v>
      </c>
      <c r="N11" s="133">
        <v>2255</v>
      </c>
      <c r="O11" s="133">
        <v>472.6</v>
      </c>
      <c r="P11" s="133">
        <v>158.1</v>
      </c>
      <c r="Q11" s="133">
        <v>139.4</v>
      </c>
      <c r="R11" s="133">
        <v>972.4</v>
      </c>
      <c r="S11" s="133">
        <v>662.1</v>
      </c>
      <c r="T11" s="133">
        <v>-243.9</v>
      </c>
      <c r="U11" s="133">
        <v>7.5</v>
      </c>
      <c r="V11" s="128">
        <v>902.2</v>
      </c>
      <c r="W11" s="132" t="str">
        <f t="shared" si="0"/>
        <v>CH2</v>
      </c>
    </row>
    <row r="12" spans="1:23">
      <c r="B12" s="126" t="s">
        <v>161</v>
      </c>
      <c r="C12" s="127">
        <v>0.44690000000000002</v>
      </c>
      <c r="D12" s="128">
        <v>0.22800000000000001</v>
      </c>
      <c r="E12" s="127">
        <v>0</v>
      </c>
      <c r="F12" s="133">
        <v>0</v>
      </c>
      <c r="G12" s="133">
        <v>0</v>
      </c>
      <c r="H12" s="133">
        <v>-114.8</v>
      </c>
      <c r="I12" s="133">
        <v>-115.7</v>
      </c>
      <c r="J12" s="133">
        <v>-115.7</v>
      </c>
      <c r="K12" s="133">
        <v>644.6</v>
      </c>
      <c r="L12" s="133">
        <v>310.7</v>
      </c>
      <c r="M12" s="133">
        <v>1300</v>
      </c>
      <c r="N12" s="133">
        <v>2255</v>
      </c>
      <c r="O12" s="133">
        <v>472.6</v>
      </c>
      <c r="P12" s="133">
        <v>158.1</v>
      </c>
      <c r="Q12" s="133">
        <v>139.4</v>
      </c>
      <c r="R12" s="133">
        <v>972.4</v>
      </c>
      <c r="S12" s="133">
        <v>662.1</v>
      </c>
      <c r="T12" s="133">
        <v>-243.9</v>
      </c>
      <c r="U12" s="133">
        <v>7.5</v>
      </c>
      <c r="V12" s="128">
        <v>902.2</v>
      </c>
      <c r="W12" s="132" t="str">
        <f t="shared" si="0"/>
        <v>CH</v>
      </c>
    </row>
    <row r="13" spans="1:23">
      <c r="A13" s="40">
        <v>3</v>
      </c>
      <c r="B13" s="126" t="s">
        <v>162</v>
      </c>
      <c r="C13" s="127">
        <v>0.53129999999999999</v>
      </c>
      <c r="D13" s="128">
        <v>0.4</v>
      </c>
      <c r="E13" s="127">
        <v>156.5</v>
      </c>
      <c r="F13" s="133">
        <v>156.5</v>
      </c>
      <c r="G13" s="133">
        <v>156.5</v>
      </c>
      <c r="H13" s="133">
        <v>0</v>
      </c>
      <c r="I13" s="133">
        <v>167</v>
      </c>
      <c r="J13" s="133">
        <v>167</v>
      </c>
      <c r="K13" s="133">
        <v>703.9</v>
      </c>
      <c r="L13" s="133">
        <v>577.29999999999995</v>
      </c>
      <c r="M13" s="133">
        <v>859.4</v>
      </c>
      <c r="N13" s="133">
        <v>1649</v>
      </c>
      <c r="O13" s="133">
        <v>593.70000000000005</v>
      </c>
      <c r="P13" s="133">
        <v>362.3</v>
      </c>
      <c r="Q13" s="133">
        <v>461.8</v>
      </c>
      <c r="R13" s="133">
        <v>6</v>
      </c>
      <c r="S13" s="133">
        <v>32.14</v>
      </c>
      <c r="T13" s="133"/>
      <c r="U13" s="133">
        <v>-231.9</v>
      </c>
      <c r="V13" s="128">
        <v>1.64</v>
      </c>
      <c r="W13" s="132" t="str">
        <f t="shared" si="0"/>
        <v>ACH</v>
      </c>
    </row>
    <row r="14" spans="1:23">
      <c r="A14" s="40">
        <v>4</v>
      </c>
      <c r="B14" s="126" t="s">
        <v>163</v>
      </c>
      <c r="C14" s="127">
        <v>1.0396000000000001</v>
      </c>
      <c r="D14" s="128">
        <v>0.66</v>
      </c>
      <c r="E14" s="133">
        <v>104.4</v>
      </c>
      <c r="F14" s="133">
        <v>104.4</v>
      </c>
      <c r="G14" s="133">
        <v>104.4</v>
      </c>
      <c r="H14" s="133">
        <v>-146.80000000000001</v>
      </c>
      <c r="I14" s="133">
        <v>0</v>
      </c>
      <c r="J14" s="133">
        <v>0</v>
      </c>
      <c r="K14" s="133">
        <v>4000</v>
      </c>
      <c r="L14" s="133">
        <v>906.8</v>
      </c>
      <c r="M14" s="133">
        <v>5695</v>
      </c>
      <c r="N14" s="133">
        <v>292.60000000000002</v>
      </c>
      <c r="O14" s="133">
        <v>916.7</v>
      </c>
      <c r="P14" s="133">
        <v>1218</v>
      </c>
      <c r="Q14" s="133">
        <v>339.1</v>
      </c>
      <c r="R14" s="133">
        <v>5688</v>
      </c>
      <c r="S14" s="133">
        <v>213.1</v>
      </c>
      <c r="T14" s="133"/>
      <c r="U14" s="133">
        <v>-12.14</v>
      </c>
      <c r="V14" s="128">
        <v>689.6</v>
      </c>
      <c r="W14" s="132" t="str">
        <f t="shared" si="0"/>
        <v>ACCH2</v>
      </c>
    </row>
    <row r="15" spans="1:23">
      <c r="B15" s="126" t="s">
        <v>164</v>
      </c>
      <c r="C15" s="127">
        <v>1.2663</v>
      </c>
      <c r="D15" s="128">
        <v>0.96799999999999997</v>
      </c>
      <c r="E15" s="133">
        <v>104.4</v>
      </c>
      <c r="F15" s="133">
        <v>104.4</v>
      </c>
      <c r="G15" s="133">
        <v>104.4</v>
      </c>
      <c r="H15" s="133">
        <v>-146.80000000000001</v>
      </c>
      <c r="I15" s="133">
        <v>0</v>
      </c>
      <c r="J15" s="133">
        <v>0</v>
      </c>
      <c r="K15" s="133">
        <v>4000</v>
      </c>
      <c r="L15" s="133">
        <v>906.8</v>
      </c>
      <c r="M15" s="133">
        <v>5695</v>
      </c>
      <c r="N15" s="133">
        <v>292.60000000000002</v>
      </c>
      <c r="O15" s="133">
        <v>916.7</v>
      </c>
      <c r="P15" s="133">
        <v>1218</v>
      </c>
      <c r="Q15" s="133">
        <v>339.1</v>
      </c>
      <c r="R15" s="133">
        <v>5688</v>
      </c>
      <c r="S15" s="133">
        <v>213.1</v>
      </c>
      <c r="T15" s="133"/>
      <c r="U15" s="133">
        <v>-12.14</v>
      </c>
      <c r="V15" s="128">
        <v>689.6</v>
      </c>
      <c r="W15" s="132" t="str">
        <f t="shared" si="0"/>
        <v>ACCH3</v>
      </c>
    </row>
    <row r="16" spans="1:23">
      <c r="A16" s="40">
        <v>5</v>
      </c>
      <c r="B16" s="126" t="s">
        <v>165</v>
      </c>
      <c r="C16" s="127">
        <v>1</v>
      </c>
      <c r="D16" s="128">
        <v>1.2</v>
      </c>
      <c r="E16" s="127">
        <v>328.2</v>
      </c>
      <c r="F16" s="133">
        <v>328.2</v>
      </c>
      <c r="G16" s="133">
        <v>328.2</v>
      </c>
      <c r="H16" s="133">
        <v>-9.2100000000000009</v>
      </c>
      <c r="I16" s="133">
        <v>1.27</v>
      </c>
      <c r="J16" s="133">
        <v>1.27</v>
      </c>
      <c r="K16" s="133">
        <v>0</v>
      </c>
      <c r="L16" s="133">
        <v>991.3</v>
      </c>
      <c r="M16" s="133">
        <v>28.73</v>
      </c>
      <c r="N16" s="133">
        <v>-195.5</v>
      </c>
      <c r="O16" s="133">
        <v>67.069999999999993</v>
      </c>
      <c r="P16" s="133">
        <v>1409</v>
      </c>
      <c r="Q16" s="133">
        <v>-104</v>
      </c>
      <c r="R16" s="133">
        <v>195.6</v>
      </c>
      <c r="S16" s="133">
        <v>262.5</v>
      </c>
      <c r="T16" s="133">
        <v>272.2</v>
      </c>
      <c r="U16" s="133">
        <v>-61.57</v>
      </c>
      <c r="V16" s="128">
        <v>-348.2</v>
      </c>
      <c r="W16" s="132" t="str">
        <f t="shared" si="0"/>
        <v>OH</v>
      </c>
    </row>
    <row r="17" spans="1:24">
      <c r="A17" s="40">
        <v>7</v>
      </c>
      <c r="B17" s="126" t="s">
        <v>243</v>
      </c>
      <c r="C17" s="127">
        <v>3.2490999999999999</v>
      </c>
      <c r="D17" s="128">
        <v>3.1240000000000001</v>
      </c>
      <c r="E17" s="127">
        <v>-131.9</v>
      </c>
      <c r="F17" s="133">
        <v>-131.9</v>
      </c>
      <c r="G17" s="133">
        <v>-131.9</v>
      </c>
      <c r="H17" s="133">
        <v>-252</v>
      </c>
      <c r="I17" s="133">
        <v>-273.60000000000002</v>
      </c>
      <c r="J17" s="133">
        <v>-273.60000000000002</v>
      </c>
      <c r="K17" s="133">
        <v>-268.8</v>
      </c>
      <c r="L17" s="133">
        <v>0</v>
      </c>
      <c r="M17" s="133">
        <v>5.89</v>
      </c>
      <c r="N17" s="133">
        <v>-153.19999999999999</v>
      </c>
      <c r="O17" s="133">
        <v>353.8</v>
      </c>
      <c r="P17" s="133">
        <v>-338.6</v>
      </c>
      <c r="Q17" s="133">
        <v>-57.98</v>
      </c>
      <c r="R17" s="133">
        <v>487.1</v>
      </c>
      <c r="S17" s="133">
        <v>1970</v>
      </c>
      <c r="T17" s="133">
        <v>507.8</v>
      </c>
      <c r="U17" s="133">
        <v>1544</v>
      </c>
      <c r="V17" s="128"/>
      <c r="W17" s="132" t="str">
        <f t="shared" si="0"/>
        <v>2-Propanol</v>
      </c>
    </row>
    <row r="18" spans="1:24">
      <c r="A18" s="40">
        <v>8</v>
      </c>
      <c r="B18" s="126" t="s">
        <v>167</v>
      </c>
      <c r="C18" s="127">
        <v>0.92</v>
      </c>
      <c r="D18" s="128">
        <v>1.4</v>
      </c>
      <c r="E18" s="127">
        <v>342.4</v>
      </c>
      <c r="F18" s="133">
        <v>342.4</v>
      </c>
      <c r="G18" s="133">
        <v>342.4</v>
      </c>
      <c r="H18" s="133">
        <v>372.8</v>
      </c>
      <c r="I18" s="133">
        <v>203.7</v>
      </c>
      <c r="J18" s="133">
        <v>203.7</v>
      </c>
      <c r="K18" s="133">
        <v>-122.4</v>
      </c>
      <c r="L18" s="133">
        <v>104.9</v>
      </c>
      <c r="M18" s="133">
        <v>0</v>
      </c>
      <c r="N18" s="133">
        <v>344.5</v>
      </c>
      <c r="O18" s="133">
        <v>-171.8</v>
      </c>
      <c r="P18" s="133">
        <v>-349.9</v>
      </c>
      <c r="Q18" s="133">
        <v>-465.7</v>
      </c>
      <c r="R18" s="133">
        <v>-6.32</v>
      </c>
      <c r="S18" s="133">
        <v>64.42</v>
      </c>
      <c r="T18" s="133">
        <v>370.7</v>
      </c>
      <c r="U18" s="133">
        <v>356.8</v>
      </c>
      <c r="V18" s="128">
        <v>-109.8</v>
      </c>
      <c r="W18" s="132" t="str">
        <f t="shared" si="0"/>
        <v>H2O</v>
      </c>
    </row>
    <row r="19" spans="1:24">
      <c r="A19" s="40">
        <v>9</v>
      </c>
      <c r="B19" s="126" t="s">
        <v>168</v>
      </c>
      <c r="C19" s="127">
        <v>0.8952</v>
      </c>
      <c r="D19" s="128">
        <v>0.68</v>
      </c>
      <c r="E19" s="127">
        <v>-159.80000000000001</v>
      </c>
      <c r="F19" s="133">
        <v>-159.80000000000001</v>
      </c>
      <c r="G19" s="133">
        <v>-159.80000000000001</v>
      </c>
      <c r="H19" s="133">
        <v>-473.2</v>
      </c>
      <c r="I19" s="133">
        <v>-470.4</v>
      </c>
      <c r="J19" s="133">
        <v>-470.4</v>
      </c>
      <c r="K19" s="133">
        <v>-63.15</v>
      </c>
      <c r="L19" s="133">
        <v>-547.20000000000005</v>
      </c>
      <c r="M19" s="133">
        <v>-595.9</v>
      </c>
      <c r="N19" s="133">
        <v>0</v>
      </c>
      <c r="O19" s="133">
        <v>-825.7</v>
      </c>
      <c r="P19" s="133"/>
      <c r="Q19" s="133"/>
      <c r="R19" s="133">
        <v>-898.3</v>
      </c>
      <c r="S19" s="133"/>
      <c r="T19" s="133"/>
      <c r="U19" s="133"/>
      <c r="V19" s="128">
        <v>-851.6</v>
      </c>
      <c r="W19" s="132" t="str">
        <f t="shared" si="0"/>
        <v>ACOH</v>
      </c>
    </row>
    <row r="20" spans="1:24">
      <c r="A20" s="40">
        <v>10</v>
      </c>
      <c r="B20" s="126" t="s">
        <v>169</v>
      </c>
      <c r="C20" s="127">
        <v>1.6724000000000001</v>
      </c>
      <c r="D20" s="128">
        <v>1.488</v>
      </c>
      <c r="E20" s="127">
        <v>66.56</v>
      </c>
      <c r="F20" s="133">
        <v>66.56</v>
      </c>
      <c r="G20" s="133">
        <v>66.56</v>
      </c>
      <c r="H20" s="133">
        <v>-78.31</v>
      </c>
      <c r="I20" s="133">
        <v>-73.87</v>
      </c>
      <c r="J20" s="133">
        <v>-73.87</v>
      </c>
      <c r="K20" s="133">
        <v>216</v>
      </c>
      <c r="L20" s="133">
        <v>-127.6</v>
      </c>
      <c r="M20" s="133">
        <v>634.79999999999995</v>
      </c>
      <c r="N20" s="133">
        <v>-568</v>
      </c>
      <c r="O20" s="133">
        <v>0</v>
      </c>
      <c r="P20" s="133">
        <v>-37.36</v>
      </c>
      <c r="Q20" s="133">
        <v>1247</v>
      </c>
      <c r="R20" s="133">
        <v>258.7</v>
      </c>
      <c r="S20" s="133">
        <v>5.202</v>
      </c>
      <c r="T20" s="133">
        <v>-301</v>
      </c>
      <c r="U20" s="133">
        <v>12.01</v>
      </c>
      <c r="V20" s="128">
        <v>1010</v>
      </c>
      <c r="W20" s="132" t="str">
        <f t="shared" si="0"/>
        <v>CH3CO</v>
      </c>
    </row>
    <row r="21" spans="1:24">
      <c r="A21" s="40">
        <v>11</v>
      </c>
      <c r="B21" s="126" t="s">
        <v>170</v>
      </c>
      <c r="C21" s="127">
        <v>0.998</v>
      </c>
      <c r="D21" s="128">
        <v>0.94799999999999995</v>
      </c>
      <c r="E21" s="127">
        <v>146.1</v>
      </c>
      <c r="F21" s="133">
        <v>146.1</v>
      </c>
      <c r="G21" s="133">
        <v>146.1</v>
      </c>
      <c r="H21" s="133">
        <v>-75.3</v>
      </c>
      <c r="I21" s="133">
        <v>223.2</v>
      </c>
      <c r="J21" s="133">
        <v>223.2</v>
      </c>
      <c r="K21" s="133">
        <v>-431.3</v>
      </c>
      <c r="L21" s="133">
        <v>231.4</v>
      </c>
      <c r="M21" s="133">
        <v>623.70000000000005</v>
      </c>
      <c r="N21" s="133"/>
      <c r="O21" s="133">
        <v>128</v>
      </c>
      <c r="P21" s="133">
        <v>0</v>
      </c>
      <c r="Q21" s="133">
        <v>0.75</v>
      </c>
      <c r="R21" s="133">
        <v>-245.8</v>
      </c>
      <c r="S21" s="133"/>
      <c r="T21" s="133"/>
      <c r="U21" s="133"/>
      <c r="V21" s="128"/>
      <c r="W21" s="132" t="str">
        <f t="shared" si="0"/>
        <v>CHO</v>
      </c>
    </row>
    <row r="22" spans="1:24">
      <c r="A22" s="40">
        <v>13</v>
      </c>
      <c r="B22" s="126" t="s">
        <v>173</v>
      </c>
      <c r="C22" s="127">
        <v>1.3012999999999999</v>
      </c>
      <c r="D22" s="128">
        <v>1.224</v>
      </c>
      <c r="E22" s="127">
        <v>1744</v>
      </c>
      <c r="F22" s="133">
        <v>1744</v>
      </c>
      <c r="G22" s="133">
        <v>1744</v>
      </c>
      <c r="H22" s="133">
        <v>75.489999999999995</v>
      </c>
      <c r="I22" s="133">
        <v>147.30000000000001</v>
      </c>
      <c r="J22" s="133">
        <v>147.30000000000001</v>
      </c>
      <c r="K22" s="133">
        <v>118.4</v>
      </c>
      <c r="L22" s="133">
        <v>349.1</v>
      </c>
      <c r="M22" s="133">
        <v>652.29999999999995</v>
      </c>
      <c r="N22" s="133"/>
      <c r="O22" s="133">
        <v>-101.3</v>
      </c>
      <c r="P22" s="133">
        <v>1051</v>
      </c>
      <c r="Q22" s="133">
        <v>0</v>
      </c>
      <c r="R22" s="133">
        <v>-117.6</v>
      </c>
      <c r="S22" s="133">
        <v>-96.62</v>
      </c>
      <c r="T22" s="133">
        <v>1670</v>
      </c>
      <c r="U22" s="133">
        <v>48.15</v>
      </c>
      <c r="V22" s="128">
        <v>942.2</v>
      </c>
      <c r="W22" s="132" t="str">
        <f t="shared" si="0"/>
        <v>COOH</v>
      </c>
    </row>
    <row r="23" spans="1:24">
      <c r="A23" s="40">
        <v>14</v>
      </c>
      <c r="B23" s="126" t="s">
        <v>171</v>
      </c>
      <c r="C23" s="127">
        <v>1.9031</v>
      </c>
      <c r="D23" s="128">
        <v>1.728</v>
      </c>
      <c r="E23" s="133">
        <v>-320.10000000000002</v>
      </c>
      <c r="F23" s="133">
        <v>-320.10000000000002</v>
      </c>
      <c r="G23" s="133">
        <v>-320.10000000000002</v>
      </c>
      <c r="H23" s="133">
        <v>114.8</v>
      </c>
      <c r="I23" s="133">
        <v>-170</v>
      </c>
      <c r="J23" s="133">
        <v>-170</v>
      </c>
      <c r="K23" s="133">
        <v>180.6</v>
      </c>
      <c r="L23" s="133">
        <v>-152.80000000000001</v>
      </c>
      <c r="M23" s="133">
        <v>385.9</v>
      </c>
      <c r="N23" s="133">
        <v>-337.3</v>
      </c>
      <c r="O23" s="133">
        <v>58.84</v>
      </c>
      <c r="P23" s="133">
        <v>1090</v>
      </c>
      <c r="Q23" s="133">
        <v>1417</v>
      </c>
      <c r="R23" s="133">
        <v>0</v>
      </c>
      <c r="S23" s="133">
        <v>-235.7</v>
      </c>
      <c r="T23" s="133">
        <v>108.9</v>
      </c>
      <c r="U23" s="133">
        <v>-209.7</v>
      </c>
      <c r="V23" s="128"/>
      <c r="W23" s="132" t="str">
        <f t="shared" si="0"/>
        <v>CH3COO</v>
      </c>
    </row>
    <row r="24" spans="1:24">
      <c r="A24" s="40">
        <v>15</v>
      </c>
      <c r="B24" s="126" t="s">
        <v>182</v>
      </c>
      <c r="C24" s="127">
        <v>0.91830000000000001</v>
      </c>
      <c r="D24" s="128">
        <v>0.78</v>
      </c>
      <c r="E24" s="133">
        <v>1571</v>
      </c>
      <c r="F24" s="133">
        <v>1571</v>
      </c>
      <c r="G24" s="133">
        <v>1571</v>
      </c>
      <c r="H24" s="133">
        <v>52.13</v>
      </c>
      <c r="I24" s="133">
        <v>65.69</v>
      </c>
      <c r="J24" s="133">
        <v>65.69</v>
      </c>
      <c r="K24" s="133">
        <v>137.1</v>
      </c>
      <c r="L24" s="133">
        <v>-218.1</v>
      </c>
      <c r="M24" s="133">
        <v>212.8</v>
      </c>
      <c r="N24" s="133"/>
      <c r="O24" s="133">
        <v>52.38</v>
      </c>
      <c r="P24" s="133"/>
      <c r="Q24" s="133">
        <v>1402</v>
      </c>
      <c r="R24" s="133">
        <v>461.3</v>
      </c>
      <c r="S24" s="133">
        <v>0</v>
      </c>
      <c r="T24" s="133">
        <v>137.80000000000001</v>
      </c>
      <c r="U24" s="133">
        <v>-154.30000000000001</v>
      </c>
      <c r="V24" s="128"/>
      <c r="W24" s="132" t="str">
        <f t="shared" si="0"/>
        <v>CH2O</v>
      </c>
    </row>
    <row r="25" spans="1:24">
      <c r="A25" s="40">
        <v>17</v>
      </c>
      <c r="B25" s="126" t="s">
        <v>183</v>
      </c>
      <c r="C25" s="127">
        <v>2.0606</v>
      </c>
      <c r="D25" s="128">
        <v>1.6839999999999999</v>
      </c>
      <c r="E25" s="133">
        <v>27.9</v>
      </c>
      <c r="F25" s="133">
        <v>27.9</v>
      </c>
      <c r="G25" s="133">
        <v>27.9</v>
      </c>
      <c r="H25" s="133"/>
      <c r="I25" s="133"/>
      <c r="J25" s="133"/>
      <c r="K25" s="133">
        <v>669.2</v>
      </c>
      <c r="L25" s="133">
        <v>-401.6</v>
      </c>
      <c r="M25" s="133">
        <v>740.4</v>
      </c>
      <c r="N25" s="133"/>
      <c r="O25" s="133">
        <v>550.6</v>
      </c>
      <c r="P25" s="133"/>
      <c r="Q25" s="133">
        <v>437.7</v>
      </c>
      <c r="R25" s="133">
        <v>-132.9</v>
      </c>
      <c r="S25" s="133">
        <v>-197.7</v>
      </c>
      <c r="T25" s="133">
        <v>0</v>
      </c>
      <c r="U25" s="133"/>
      <c r="V25" s="128"/>
      <c r="W25" s="132" t="str">
        <f t="shared" si="0"/>
        <v>CHCL2</v>
      </c>
    </row>
    <row r="26" spans="1:24">
      <c r="A26" s="40">
        <v>18</v>
      </c>
      <c r="B26" s="126" t="s">
        <v>174</v>
      </c>
      <c r="C26" s="127">
        <v>2.6400999999999999</v>
      </c>
      <c r="D26" s="128">
        <v>2.1840000000000002</v>
      </c>
      <c r="E26" s="133">
        <v>21.23</v>
      </c>
      <c r="F26" s="133">
        <v>21.23</v>
      </c>
      <c r="G26" s="133">
        <v>21.23</v>
      </c>
      <c r="H26" s="133">
        <v>288.5</v>
      </c>
      <c r="I26" s="133">
        <v>33.61</v>
      </c>
      <c r="J26" s="133">
        <v>33.61</v>
      </c>
      <c r="K26" s="133">
        <v>418.4</v>
      </c>
      <c r="L26" s="133">
        <v>-465.7</v>
      </c>
      <c r="M26" s="133">
        <v>793.2</v>
      </c>
      <c r="N26" s="133"/>
      <c r="O26" s="133">
        <v>-825.7</v>
      </c>
      <c r="P26" s="133"/>
      <c r="Q26" s="133">
        <v>370.4</v>
      </c>
      <c r="R26" s="133">
        <v>-898.3</v>
      </c>
      <c r="S26" s="133">
        <v>-20.93</v>
      </c>
      <c r="T26" s="133"/>
      <c r="U26" s="133">
        <v>0</v>
      </c>
      <c r="V26" s="128">
        <v>-75.5</v>
      </c>
      <c r="W26" s="132" t="str">
        <f t="shared" si="0"/>
        <v>CCL3</v>
      </c>
    </row>
    <row r="27" spans="1:24">
      <c r="A27" s="40">
        <v>22</v>
      </c>
      <c r="B27" s="126" t="s">
        <v>172</v>
      </c>
      <c r="C27" s="134">
        <v>1.06</v>
      </c>
      <c r="D27" s="135">
        <v>0.81599999999999995</v>
      </c>
      <c r="E27" s="136">
        <v>175.8</v>
      </c>
      <c r="F27" s="136">
        <v>175.8</v>
      </c>
      <c r="G27" s="136">
        <v>175.8</v>
      </c>
      <c r="H27" s="136">
        <v>-218.9</v>
      </c>
      <c r="I27" s="136">
        <v>-15.41</v>
      </c>
      <c r="J27" s="136">
        <v>-15.41</v>
      </c>
      <c r="K27" s="136">
        <v>529</v>
      </c>
      <c r="L27" s="136"/>
      <c r="M27" s="136">
        <v>-239.8</v>
      </c>
      <c r="N27" s="136">
        <v>-860.3</v>
      </c>
      <c r="O27" s="136">
        <v>857.7</v>
      </c>
      <c r="P27" s="136"/>
      <c r="Q27" s="136">
        <v>681.4</v>
      </c>
      <c r="R27" s="136"/>
      <c r="S27" s="136"/>
      <c r="T27" s="136"/>
      <c r="U27" s="136">
        <v>-216.3</v>
      </c>
      <c r="V27" s="135">
        <v>0</v>
      </c>
      <c r="W27" s="132" t="str">
        <f t="shared" si="0"/>
        <v>ACNH2</v>
      </c>
    </row>
    <row r="29" spans="1:24">
      <c r="B29"/>
      <c r="C29"/>
      <c r="D29" s="38" t="s">
        <v>175</v>
      </c>
    </row>
    <row r="30" spans="1:24" s="42" customFormat="1">
      <c r="B30"/>
      <c r="C30"/>
      <c r="D30" s="39"/>
      <c r="E30" s="39" t="str">
        <f t="shared" ref="E30:V30" si="1">E9</f>
        <v>CH3</v>
      </c>
      <c r="F30" s="39" t="str">
        <f t="shared" si="1"/>
        <v>CH2</v>
      </c>
      <c r="G30" s="39" t="str">
        <f t="shared" si="1"/>
        <v>CH</v>
      </c>
      <c r="H30" s="39" t="str">
        <f t="shared" si="1"/>
        <v>ACH</v>
      </c>
      <c r="I30" s="39" t="str">
        <f t="shared" si="1"/>
        <v>ACCH2</v>
      </c>
      <c r="J30" s="39" t="str">
        <f t="shared" si="1"/>
        <v>ACCH3</v>
      </c>
      <c r="K30" s="39" t="str">
        <f t="shared" si="1"/>
        <v>OH</v>
      </c>
      <c r="L30" s="39" t="str">
        <f t="shared" si="1"/>
        <v>2-Propanol</v>
      </c>
      <c r="M30" s="39" t="str">
        <f t="shared" si="1"/>
        <v>H2O</v>
      </c>
      <c r="N30" s="39" t="str">
        <f t="shared" si="1"/>
        <v>ACOH</v>
      </c>
      <c r="O30" s="39" t="str">
        <f t="shared" si="1"/>
        <v>CH3CO</v>
      </c>
      <c r="P30" s="39" t="str">
        <f t="shared" si="1"/>
        <v>CHO</v>
      </c>
      <c r="Q30" s="39" t="str">
        <f t="shared" si="1"/>
        <v>COOH</v>
      </c>
      <c r="R30" s="39" t="str">
        <f t="shared" si="1"/>
        <v>CH3COO</v>
      </c>
      <c r="S30" s="39" t="str">
        <f t="shared" si="1"/>
        <v>CH2O</v>
      </c>
      <c r="T30" s="39" t="str">
        <f t="shared" si="1"/>
        <v>CHCL2</v>
      </c>
      <c r="U30" s="39" t="str">
        <f t="shared" si="1"/>
        <v>CCL3</v>
      </c>
      <c r="V30" s="39" t="str">
        <f t="shared" si="1"/>
        <v>ACNH2</v>
      </c>
      <c r="W30" s="39"/>
      <c r="X30" s="41"/>
    </row>
    <row r="31" spans="1:24">
      <c r="B31"/>
      <c r="C31"/>
      <c r="D31" s="39" t="str">
        <f t="shared" ref="D31:D48" si="2">B10</f>
        <v>CH3</v>
      </c>
      <c r="E31" s="59">
        <f t="shared" ref="E31:E46" si="3">EXP(-E10/($B$6+273.15))</f>
        <v>1</v>
      </c>
      <c r="F31" s="59">
        <f t="shared" ref="F31:V31" si="4">EXP(-F10/($B$6+273.15))</f>
        <v>1</v>
      </c>
      <c r="G31" s="59">
        <f t="shared" si="4"/>
        <v>1</v>
      </c>
      <c r="H31" s="59">
        <f t="shared" si="4"/>
        <v>1.4793582688401357</v>
      </c>
      <c r="I31" s="59">
        <f t="shared" si="4"/>
        <v>1.4839070265940491</v>
      </c>
      <c r="J31" s="59">
        <f t="shared" si="4"/>
        <v>1.4839070265940491</v>
      </c>
      <c r="K31" s="59">
        <f t="shared" si="4"/>
        <v>0.11092796010438925</v>
      </c>
      <c r="L31" s="59">
        <f t="shared" si="4"/>
        <v>0.3465019050782428</v>
      </c>
      <c r="M31" s="59">
        <f t="shared" si="4"/>
        <v>1.1859929847940986E-2</v>
      </c>
      <c r="N31" s="59">
        <f t="shared" si="4"/>
        <v>4.5632390058103099E-4</v>
      </c>
      <c r="O31" s="59">
        <f t="shared" si="4"/>
        <v>0.19945952337116224</v>
      </c>
      <c r="P31" s="59">
        <f t="shared" si="4"/>
        <v>0.58314795411085218</v>
      </c>
      <c r="Q31" s="59">
        <f t="shared" si="4"/>
        <v>0.62155897849129982</v>
      </c>
      <c r="R31" s="59">
        <f t="shared" si="4"/>
        <v>3.6258799919873928E-2</v>
      </c>
      <c r="S31" s="59">
        <f t="shared" si="4"/>
        <v>0.10449973979346211</v>
      </c>
      <c r="T31" s="59">
        <f t="shared" si="4"/>
        <v>2.2979036965035107</v>
      </c>
      <c r="U31" s="59">
        <f t="shared" si="4"/>
        <v>0.9747403297421201</v>
      </c>
      <c r="V31" s="59">
        <f t="shared" si="4"/>
        <v>4.6069446174047089E-2</v>
      </c>
    </row>
    <row r="32" spans="1:24">
      <c r="B32"/>
      <c r="C32"/>
      <c r="D32" s="39" t="str">
        <f t="shared" si="2"/>
        <v>CH2</v>
      </c>
      <c r="E32" s="59">
        <f t="shared" si="3"/>
        <v>1</v>
      </c>
      <c r="F32" s="59">
        <f t="shared" ref="F32:V32" si="5">EXP(-F11/($B$6+273.15))</f>
        <v>1</v>
      </c>
      <c r="G32" s="59">
        <f t="shared" si="5"/>
        <v>1</v>
      </c>
      <c r="H32" s="59">
        <f t="shared" si="5"/>
        <v>1.4793582688401357</v>
      </c>
      <c r="I32" s="59">
        <f t="shared" si="5"/>
        <v>1.4839070265940491</v>
      </c>
      <c r="J32" s="59">
        <f t="shared" si="5"/>
        <v>1.4839070265940491</v>
      </c>
      <c r="K32" s="59">
        <f t="shared" si="5"/>
        <v>0.11092796010438925</v>
      </c>
      <c r="L32" s="59">
        <f t="shared" si="5"/>
        <v>0.3465019050782428</v>
      </c>
      <c r="M32" s="59">
        <f t="shared" si="5"/>
        <v>1.1859929847940986E-2</v>
      </c>
      <c r="N32" s="59">
        <f t="shared" si="5"/>
        <v>4.5632390058103099E-4</v>
      </c>
      <c r="O32" s="59">
        <f t="shared" si="5"/>
        <v>0.19945952337116224</v>
      </c>
      <c r="P32" s="59">
        <f t="shared" si="5"/>
        <v>0.58314795411085218</v>
      </c>
      <c r="Q32" s="59">
        <f t="shared" si="5"/>
        <v>0.62155897849129982</v>
      </c>
      <c r="R32" s="59">
        <f t="shared" si="5"/>
        <v>3.6258799919873928E-2</v>
      </c>
      <c r="S32" s="59">
        <f t="shared" si="5"/>
        <v>0.10449973979346211</v>
      </c>
      <c r="T32" s="59">
        <f t="shared" si="5"/>
        <v>2.2979036965035107</v>
      </c>
      <c r="U32" s="59">
        <f t="shared" si="5"/>
        <v>0.9747403297421201</v>
      </c>
      <c r="V32" s="59">
        <f t="shared" si="5"/>
        <v>4.6069446174047089E-2</v>
      </c>
    </row>
    <row r="33" spans="2:24">
      <c r="B33"/>
      <c r="C33"/>
      <c r="D33" s="39" t="str">
        <f t="shared" si="2"/>
        <v>CH</v>
      </c>
      <c r="E33" s="59">
        <f t="shared" si="3"/>
        <v>1</v>
      </c>
      <c r="F33" s="59">
        <f t="shared" ref="F33:V33" si="6">EXP(-F12/($B$6+273.15))</f>
        <v>1</v>
      </c>
      <c r="G33" s="59">
        <f t="shared" si="6"/>
        <v>1</v>
      </c>
      <c r="H33" s="59">
        <f t="shared" si="6"/>
        <v>1.4793582688401357</v>
      </c>
      <c r="I33" s="59">
        <f t="shared" si="6"/>
        <v>1.4839070265940491</v>
      </c>
      <c r="J33" s="59">
        <f t="shared" si="6"/>
        <v>1.4839070265940491</v>
      </c>
      <c r="K33" s="59">
        <f t="shared" si="6"/>
        <v>0.11092796010438925</v>
      </c>
      <c r="L33" s="59">
        <f t="shared" si="6"/>
        <v>0.3465019050782428</v>
      </c>
      <c r="M33" s="59">
        <f t="shared" si="6"/>
        <v>1.1859929847940986E-2</v>
      </c>
      <c r="N33" s="59">
        <f t="shared" si="6"/>
        <v>4.5632390058103099E-4</v>
      </c>
      <c r="O33" s="59">
        <f t="shared" si="6"/>
        <v>0.19945952337116224</v>
      </c>
      <c r="P33" s="59">
        <f t="shared" si="6"/>
        <v>0.58314795411085218</v>
      </c>
      <c r="Q33" s="59">
        <f t="shared" si="6"/>
        <v>0.62155897849129982</v>
      </c>
      <c r="R33" s="59">
        <f t="shared" si="6"/>
        <v>3.6258799919873928E-2</v>
      </c>
      <c r="S33" s="59">
        <f t="shared" si="6"/>
        <v>0.10449973979346211</v>
      </c>
      <c r="T33" s="59">
        <f t="shared" si="6"/>
        <v>2.2979036965035107</v>
      </c>
      <c r="U33" s="59">
        <f t="shared" si="6"/>
        <v>0.9747403297421201</v>
      </c>
      <c r="V33" s="59">
        <f t="shared" si="6"/>
        <v>4.6069446174047089E-2</v>
      </c>
    </row>
    <row r="34" spans="2:24">
      <c r="B34"/>
      <c r="C34"/>
      <c r="D34" s="39" t="str">
        <f t="shared" si="2"/>
        <v>ACH</v>
      </c>
      <c r="E34" s="59">
        <f t="shared" si="3"/>
        <v>0.58633945198681447</v>
      </c>
      <c r="F34" s="59">
        <f t="shared" ref="F34:V34" si="7">EXP(-F13/($B$6+273.15))</f>
        <v>0.58633945198681447</v>
      </c>
      <c r="G34" s="59">
        <f t="shared" si="7"/>
        <v>0.58633945198681447</v>
      </c>
      <c r="H34" s="59">
        <f t="shared" si="7"/>
        <v>1</v>
      </c>
      <c r="I34" s="59">
        <f t="shared" si="7"/>
        <v>0.56570970094562389</v>
      </c>
      <c r="J34" s="59">
        <f t="shared" si="7"/>
        <v>0.56570970094562389</v>
      </c>
      <c r="K34" s="59">
        <f t="shared" si="7"/>
        <v>9.061279816646535E-2</v>
      </c>
      <c r="L34" s="59">
        <f t="shared" si="7"/>
        <v>0.13955465062458114</v>
      </c>
      <c r="M34" s="59">
        <f t="shared" si="7"/>
        <v>5.3311405683924451E-2</v>
      </c>
      <c r="N34" s="59">
        <f t="shared" si="7"/>
        <v>3.606178694293089E-3</v>
      </c>
      <c r="O34" s="59">
        <f t="shared" si="7"/>
        <v>0.13196176603097484</v>
      </c>
      <c r="P34" s="59">
        <f t="shared" si="7"/>
        <v>0.29057717795438071</v>
      </c>
      <c r="Q34" s="59">
        <f t="shared" si="7"/>
        <v>0.20694489145117453</v>
      </c>
      <c r="R34" s="59">
        <f t="shared" si="7"/>
        <v>0.97974069669273023</v>
      </c>
      <c r="S34" s="59">
        <f t="shared" si="7"/>
        <v>0.89615964669970671</v>
      </c>
      <c r="T34" s="59">
        <f t="shared" si="7"/>
        <v>1</v>
      </c>
      <c r="U34" s="59">
        <f t="shared" si="7"/>
        <v>2.2057389907334417</v>
      </c>
      <c r="V34" s="59">
        <f t="shared" si="7"/>
        <v>0.99442121395163907</v>
      </c>
    </row>
    <row r="35" spans="2:24">
      <c r="B35"/>
      <c r="C35"/>
      <c r="D35" s="39" t="str">
        <f t="shared" si="2"/>
        <v>ACCH2</v>
      </c>
      <c r="E35" s="59">
        <f t="shared" si="3"/>
        <v>0.70038039283251263</v>
      </c>
      <c r="F35" s="59">
        <f t="shared" ref="F35:V35" si="8">EXP(-F14/($B$6+273.15))</f>
        <v>0.70038039283251263</v>
      </c>
      <c r="G35" s="59">
        <f t="shared" si="8"/>
        <v>0.70038039283251263</v>
      </c>
      <c r="H35" s="59">
        <f t="shared" si="8"/>
        <v>1.6499871915044264</v>
      </c>
      <c r="I35" s="59">
        <f t="shared" si="8"/>
        <v>1</v>
      </c>
      <c r="J35" s="59">
        <f t="shared" si="8"/>
        <v>1</v>
      </c>
      <c r="K35" s="59">
        <f t="shared" si="8"/>
        <v>1.1860386211966594E-6</v>
      </c>
      <c r="L35" s="59">
        <f t="shared" si="8"/>
        <v>4.53521839029438E-2</v>
      </c>
      <c r="M35" s="59">
        <f t="shared" si="8"/>
        <v>3.6559328563073881E-9</v>
      </c>
      <c r="N35" s="59">
        <f t="shared" si="8"/>
        <v>0.36857029437925093</v>
      </c>
      <c r="O35" s="59">
        <f t="shared" si="8"/>
        <v>4.3846163567625739E-2</v>
      </c>
      <c r="P35" s="59">
        <f t="shared" si="8"/>
        <v>1.5687837933833864E-2</v>
      </c>
      <c r="Q35" s="59">
        <f t="shared" si="8"/>
        <v>0.31450802284340718</v>
      </c>
      <c r="R35" s="59">
        <f t="shared" si="8"/>
        <v>3.7442818961068447E-9</v>
      </c>
      <c r="S35" s="59">
        <f t="shared" si="8"/>
        <v>0.48338994815553782</v>
      </c>
      <c r="T35" s="59">
        <f t="shared" si="8"/>
        <v>1</v>
      </c>
      <c r="U35" s="59">
        <f t="shared" si="8"/>
        <v>1.0422816937530153</v>
      </c>
      <c r="V35" s="59">
        <f t="shared" si="8"/>
        <v>9.5142517436651114E-2</v>
      </c>
    </row>
    <row r="36" spans="2:24">
      <c r="B36"/>
      <c r="C36"/>
      <c r="D36" s="39" t="str">
        <f t="shared" si="2"/>
        <v>ACCH3</v>
      </c>
      <c r="E36" s="59">
        <f t="shared" si="3"/>
        <v>0.70038039283251263</v>
      </c>
      <c r="F36" s="59">
        <f t="shared" ref="F36:V36" si="9">EXP(-F15/($B$6+273.15))</f>
        <v>0.70038039283251263</v>
      </c>
      <c r="G36" s="59">
        <f t="shared" si="9"/>
        <v>0.70038039283251263</v>
      </c>
      <c r="H36" s="59">
        <f t="shared" si="9"/>
        <v>1.6499871915044264</v>
      </c>
      <c r="I36" s="59">
        <f t="shared" si="9"/>
        <v>1</v>
      </c>
      <c r="J36" s="59">
        <f t="shared" si="9"/>
        <v>1</v>
      </c>
      <c r="K36" s="59">
        <f t="shared" si="9"/>
        <v>1.1860386211966594E-6</v>
      </c>
      <c r="L36" s="59">
        <f t="shared" si="9"/>
        <v>4.53521839029438E-2</v>
      </c>
      <c r="M36" s="59">
        <f t="shared" si="9"/>
        <v>3.6559328563073881E-9</v>
      </c>
      <c r="N36" s="59">
        <f t="shared" si="9"/>
        <v>0.36857029437925093</v>
      </c>
      <c r="O36" s="59">
        <f t="shared" si="9"/>
        <v>4.3846163567625739E-2</v>
      </c>
      <c r="P36" s="59">
        <f t="shared" si="9"/>
        <v>1.5687837933833864E-2</v>
      </c>
      <c r="Q36" s="59">
        <f t="shared" si="9"/>
        <v>0.31450802284340718</v>
      </c>
      <c r="R36" s="59">
        <f t="shared" si="9"/>
        <v>3.7442818961068447E-9</v>
      </c>
      <c r="S36" s="59">
        <f t="shared" si="9"/>
        <v>0.48338994815553782</v>
      </c>
      <c r="T36" s="59">
        <f t="shared" si="9"/>
        <v>1</v>
      </c>
      <c r="U36" s="59">
        <f t="shared" si="9"/>
        <v>1.0422816937530153</v>
      </c>
      <c r="V36" s="59">
        <f t="shared" si="9"/>
        <v>9.5142517436651114E-2</v>
      </c>
    </row>
    <row r="37" spans="2:24">
      <c r="B37"/>
      <c r="C37"/>
      <c r="D37" s="39" t="str">
        <f t="shared" si="2"/>
        <v>OH</v>
      </c>
      <c r="E37" s="59">
        <f t="shared" si="3"/>
        <v>0.32642229140912987</v>
      </c>
      <c r="F37" s="59">
        <f t="shared" ref="F37:V37" si="10">EXP(-F16/($B$6+273.15))</f>
        <v>0.32642229140912987</v>
      </c>
      <c r="G37" s="59">
        <f t="shared" si="10"/>
        <v>0.32642229140912987</v>
      </c>
      <c r="H37" s="59">
        <f t="shared" si="10"/>
        <v>1.0319160977502368</v>
      </c>
      <c r="I37" s="59">
        <f t="shared" si="10"/>
        <v>0.99567711755885113</v>
      </c>
      <c r="J37" s="59">
        <f t="shared" si="10"/>
        <v>0.99567711755885113</v>
      </c>
      <c r="K37" s="59">
        <f t="shared" si="10"/>
        <v>1</v>
      </c>
      <c r="L37" s="59">
        <f t="shared" si="10"/>
        <v>3.3994882378163178E-2</v>
      </c>
      <c r="M37" s="59">
        <f t="shared" si="10"/>
        <v>0.90664488314685465</v>
      </c>
      <c r="N37" s="59">
        <f t="shared" si="10"/>
        <v>1.9481770350917851</v>
      </c>
      <c r="O37" s="59">
        <f t="shared" si="10"/>
        <v>0.79549499610646779</v>
      </c>
      <c r="P37" s="59">
        <f t="shared" si="10"/>
        <v>8.1771377403232672E-3</v>
      </c>
      <c r="Q37" s="59">
        <f t="shared" si="10"/>
        <v>1.4258486553056997</v>
      </c>
      <c r="R37" s="59">
        <f t="shared" si="10"/>
        <v>0.51312530528631095</v>
      </c>
      <c r="S37" s="59">
        <f t="shared" si="10"/>
        <v>0.40842539317963472</v>
      </c>
      <c r="T37" s="59">
        <f t="shared" si="10"/>
        <v>0.3951322026775595</v>
      </c>
      <c r="U37" s="59">
        <f t="shared" si="10"/>
        <v>1.2337138314578102</v>
      </c>
      <c r="V37" s="59">
        <f t="shared" si="10"/>
        <v>3.2798176355548252</v>
      </c>
    </row>
    <row r="38" spans="2:24">
      <c r="B38"/>
      <c r="C38"/>
      <c r="D38" s="39" t="str">
        <f t="shared" si="2"/>
        <v>2-Propanol</v>
      </c>
      <c r="E38" s="59">
        <f t="shared" si="3"/>
        <v>1.5682185656912104</v>
      </c>
      <c r="F38" s="59">
        <f t="shared" ref="F38:V38" si="11">EXP(-F17/($B$6+273.15))</f>
        <v>1.5682185656912104</v>
      </c>
      <c r="G38" s="59">
        <f t="shared" si="11"/>
        <v>1.5682185656912104</v>
      </c>
      <c r="H38" s="59">
        <f t="shared" si="11"/>
        <v>2.3622821788376847</v>
      </c>
      <c r="I38" s="59">
        <f t="shared" si="11"/>
        <v>2.5429138075112343</v>
      </c>
      <c r="J38" s="59">
        <f t="shared" si="11"/>
        <v>2.5429138075112343</v>
      </c>
      <c r="K38" s="59">
        <f t="shared" si="11"/>
        <v>2.5016154965926338</v>
      </c>
      <c r="L38" s="59">
        <f t="shared" si="11"/>
        <v>1</v>
      </c>
      <c r="M38" s="59">
        <f t="shared" si="11"/>
        <v>0.98010839820715878</v>
      </c>
      <c r="N38" s="59">
        <f t="shared" si="11"/>
        <v>1.6864055187576481</v>
      </c>
      <c r="O38" s="59">
        <f t="shared" si="11"/>
        <v>0.29912591605624894</v>
      </c>
      <c r="P38" s="59">
        <f t="shared" si="11"/>
        <v>3.1741506408691937</v>
      </c>
      <c r="Q38" s="59">
        <f t="shared" si="11"/>
        <v>1.2186975482857374</v>
      </c>
      <c r="R38" s="59">
        <f t="shared" si="11"/>
        <v>0.18983373174951224</v>
      </c>
      <c r="S38" s="59">
        <f t="shared" si="11"/>
        <v>1.2064065164801318E-3</v>
      </c>
      <c r="T38" s="59">
        <f t="shared" si="11"/>
        <v>0.17689145192173863</v>
      </c>
      <c r="U38" s="59">
        <f t="shared" si="11"/>
        <v>5.1594350405034864E-3</v>
      </c>
      <c r="V38" s="59">
        <f t="shared" si="11"/>
        <v>1</v>
      </c>
    </row>
    <row r="39" spans="2:24">
      <c r="B39"/>
      <c r="C39"/>
      <c r="D39" s="39" t="str">
        <f t="shared" si="2"/>
        <v>H2O</v>
      </c>
      <c r="E39" s="59">
        <f t="shared" si="3"/>
        <v>0.31098744761676189</v>
      </c>
      <c r="F39" s="59">
        <f t="shared" ref="F39:V39" si="12">EXP(-F18/($B$6+273.15))</f>
        <v>0.31098744761676189</v>
      </c>
      <c r="G39" s="59">
        <f t="shared" si="12"/>
        <v>0.31098744761676189</v>
      </c>
      <c r="H39" s="59">
        <f t="shared" si="12"/>
        <v>0.28035351857219498</v>
      </c>
      <c r="I39" s="59">
        <f t="shared" si="12"/>
        <v>0.49914127378595635</v>
      </c>
      <c r="J39" s="59">
        <f t="shared" si="12"/>
        <v>0.49914127378595635</v>
      </c>
      <c r="K39" s="59">
        <f t="shared" si="12"/>
        <v>1.5182125452812993</v>
      </c>
      <c r="L39" s="59">
        <f t="shared" si="12"/>
        <v>0.6991868341699583</v>
      </c>
      <c r="M39" s="59">
        <f t="shared" si="12"/>
        <v>1</v>
      </c>
      <c r="N39" s="59">
        <f t="shared" si="12"/>
        <v>0.3087676282517795</v>
      </c>
      <c r="O39" s="59">
        <f t="shared" si="12"/>
        <v>1.7968732987907872</v>
      </c>
      <c r="P39" s="59">
        <f t="shared" si="12"/>
        <v>3.2988928128025279</v>
      </c>
      <c r="Q39" s="59">
        <f t="shared" si="12"/>
        <v>4.8969203887254436</v>
      </c>
      <c r="R39" s="59">
        <f t="shared" si="12"/>
        <v>1.0217930016763668</v>
      </c>
      <c r="S39" s="59">
        <f t="shared" si="12"/>
        <v>0.80271866549484561</v>
      </c>
      <c r="T39" s="59">
        <f t="shared" si="12"/>
        <v>0.28236906072307111</v>
      </c>
      <c r="U39" s="59">
        <f t="shared" si="12"/>
        <v>0.29608037064166692</v>
      </c>
      <c r="V39" s="59">
        <f t="shared" si="12"/>
        <v>1.4543401272934577</v>
      </c>
    </row>
    <row r="40" spans="2:24">
      <c r="B40"/>
      <c r="C40"/>
      <c r="D40" s="39" t="str">
        <f t="shared" si="2"/>
        <v>ACOH</v>
      </c>
      <c r="E40" s="59">
        <f t="shared" si="3"/>
        <v>1.7248040040065298</v>
      </c>
      <c r="F40" s="59">
        <f t="shared" ref="F40:V40" si="13">EXP(-F19/($B$6+273.15))</f>
        <v>1.7248040040065298</v>
      </c>
      <c r="G40" s="59">
        <f t="shared" si="13"/>
        <v>1.7248040040065298</v>
      </c>
      <c r="H40" s="59">
        <f t="shared" si="13"/>
        <v>5.023820436383283</v>
      </c>
      <c r="I40" s="59">
        <f t="shared" si="13"/>
        <v>4.9760642293236428</v>
      </c>
      <c r="J40" s="59">
        <f t="shared" si="13"/>
        <v>4.9760642293236428</v>
      </c>
      <c r="K40" s="59">
        <f t="shared" si="13"/>
        <v>1.2403811700890923</v>
      </c>
      <c r="L40" s="59">
        <f t="shared" si="13"/>
        <v>6.4664106324312822</v>
      </c>
      <c r="M40" s="59">
        <f t="shared" si="13"/>
        <v>7.6350366587328589</v>
      </c>
      <c r="N40" s="59">
        <f t="shared" si="13"/>
        <v>1</v>
      </c>
      <c r="O40" s="59">
        <f t="shared" si="13"/>
        <v>16.720688212869995</v>
      </c>
      <c r="P40" s="59">
        <f t="shared" si="13"/>
        <v>1</v>
      </c>
      <c r="Q40" s="59">
        <f t="shared" si="13"/>
        <v>1</v>
      </c>
      <c r="R40" s="59">
        <f t="shared" si="13"/>
        <v>21.419496359320899</v>
      </c>
      <c r="S40" s="59">
        <f t="shared" si="13"/>
        <v>1</v>
      </c>
      <c r="T40" s="59">
        <f t="shared" si="13"/>
        <v>1</v>
      </c>
      <c r="U40" s="59">
        <f t="shared" si="13"/>
        <v>1</v>
      </c>
      <c r="V40" s="59">
        <f t="shared" si="13"/>
        <v>18.265196922155582</v>
      </c>
    </row>
    <row r="41" spans="2:24">
      <c r="B41"/>
      <c r="C41"/>
      <c r="D41" s="39" t="str">
        <f t="shared" si="2"/>
        <v>CH3CO</v>
      </c>
      <c r="E41" s="59">
        <f t="shared" si="3"/>
        <v>0.79688014213353897</v>
      </c>
      <c r="F41" s="59">
        <f t="shared" ref="F41:V41" si="14">EXP(-F20/($B$6+273.15))</f>
        <v>0.79688014213353897</v>
      </c>
      <c r="G41" s="59">
        <f t="shared" si="14"/>
        <v>0.79688014213353897</v>
      </c>
      <c r="H41" s="59">
        <f t="shared" si="14"/>
        <v>1.3062139877088843</v>
      </c>
      <c r="I41" s="59">
        <f t="shared" si="14"/>
        <v>1.2865793597025306</v>
      </c>
      <c r="J41" s="59">
        <f t="shared" si="14"/>
        <v>1.2865793597025306</v>
      </c>
      <c r="K41" s="59">
        <f t="shared" si="14"/>
        <v>0.47863156569182203</v>
      </c>
      <c r="L41" s="59">
        <f t="shared" si="14"/>
        <v>1.5453834156455719</v>
      </c>
      <c r="M41" s="59">
        <f t="shared" si="14"/>
        <v>0.11469896117380521</v>
      </c>
      <c r="N41" s="59">
        <f t="shared" si="14"/>
        <v>6.9418938094675973</v>
      </c>
      <c r="O41" s="59">
        <f t="shared" si="14"/>
        <v>1</v>
      </c>
      <c r="P41" s="59">
        <f t="shared" si="14"/>
        <v>1.1359204465699209</v>
      </c>
      <c r="Q41" s="59">
        <f t="shared" si="14"/>
        <v>1.4210203934442786E-2</v>
      </c>
      <c r="R41" s="59">
        <f t="shared" si="14"/>
        <v>0.41375413007419554</v>
      </c>
      <c r="S41" s="59">
        <f t="shared" si="14"/>
        <v>0.982411336904079</v>
      </c>
      <c r="T41" s="59">
        <f t="shared" si="14"/>
        <v>2.7920556033696569</v>
      </c>
      <c r="U41" s="59">
        <f t="shared" si="14"/>
        <v>0.95985908926419727</v>
      </c>
      <c r="V41" s="59">
        <f t="shared" si="14"/>
        <v>3.1894070868678473E-2</v>
      </c>
    </row>
    <row r="42" spans="2:24">
      <c r="B42"/>
      <c r="C42"/>
      <c r="D42" s="39" t="str">
        <f t="shared" si="2"/>
        <v>CHO</v>
      </c>
      <c r="E42" s="59">
        <f t="shared" si="3"/>
        <v>0.6075142367203703</v>
      </c>
      <c r="F42" s="59">
        <f t="shared" ref="F42:V42" si="15">EXP(-F21/($B$6+273.15))</f>
        <v>0.6075142367203703</v>
      </c>
      <c r="G42" s="59">
        <f t="shared" si="15"/>
        <v>0.6075142367203703</v>
      </c>
      <c r="H42" s="59">
        <f t="shared" si="15"/>
        <v>1.2928706888089005</v>
      </c>
      <c r="I42" s="59">
        <f t="shared" si="15"/>
        <v>0.46701917765831774</v>
      </c>
      <c r="J42" s="59">
        <f t="shared" si="15"/>
        <v>0.46701917765831774</v>
      </c>
      <c r="K42" s="59">
        <f t="shared" si="15"/>
        <v>4.3547205772082433</v>
      </c>
      <c r="L42" s="59">
        <f t="shared" si="15"/>
        <v>0.45413671837535807</v>
      </c>
      <c r="M42" s="59">
        <f t="shared" si="15"/>
        <v>0.1191252596537023</v>
      </c>
      <c r="N42" s="59">
        <f t="shared" si="15"/>
        <v>1</v>
      </c>
      <c r="O42" s="59">
        <f t="shared" si="15"/>
        <v>0.64620626260929759</v>
      </c>
      <c r="P42" s="59">
        <f t="shared" si="15"/>
        <v>1</v>
      </c>
      <c r="Q42" s="59">
        <f t="shared" si="15"/>
        <v>0.99744485276746697</v>
      </c>
      <c r="R42" s="59">
        <f t="shared" si="15"/>
        <v>2.3128455229577281</v>
      </c>
      <c r="S42" s="59">
        <f t="shared" si="15"/>
        <v>1</v>
      </c>
      <c r="T42" s="59">
        <f t="shared" si="15"/>
        <v>1</v>
      </c>
      <c r="U42" s="59">
        <f t="shared" si="15"/>
        <v>1</v>
      </c>
      <c r="V42" s="59">
        <f t="shared" si="15"/>
        <v>1</v>
      </c>
    </row>
    <row r="43" spans="2:24">
      <c r="B43"/>
      <c r="C43"/>
      <c r="D43" s="39" t="str">
        <f t="shared" si="2"/>
        <v>COOH</v>
      </c>
      <c r="E43" s="59">
        <f t="shared" si="3"/>
        <v>2.6079970176928319E-3</v>
      </c>
      <c r="F43" s="59">
        <f t="shared" ref="F43:V43" si="16">EXP(-F22/($B$6+273.15))</f>
        <v>2.6079970176928319E-3</v>
      </c>
      <c r="G43" s="59">
        <f t="shared" si="16"/>
        <v>2.6079970176928319E-3</v>
      </c>
      <c r="H43" s="59">
        <f t="shared" si="16"/>
        <v>0.77297140873202208</v>
      </c>
      <c r="I43" s="59">
        <f t="shared" si="16"/>
        <v>0.60503247989257247</v>
      </c>
      <c r="J43" s="59">
        <f t="shared" si="16"/>
        <v>0.60503247989257247</v>
      </c>
      <c r="K43" s="59">
        <f t="shared" si="16"/>
        <v>0.66771837134092993</v>
      </c>
      <c r="L43" s="59">
        <f t="shared" si="16"/>
        <v>0.30396037770558526</v>
      </c>
      <c r="M43" s="59">
        <f t="shared" si="16"/>
        <v>0.1080522132198552</v>
      </c>
      <c r="N43" s="59">
        <f t="shared" si="16"/>
        <v>1</v>
      </c>
      <c r="O43" s="59">
        <f t="shared" si="16"/>
        <v>1.4127764506211509</v>
      </c>
      <c r="P43" s="59">
        <f t="shared" si="16"/>
        <v>2.7731251395566554E-2</v>
      </c>
      <c r="Q43" s="59">
        <f t="shared" si="16"/>
        <v>1</v>
      </c>
      <c r="R43" s="59">
        <f t="shared" si="16"/>
        <v>1.4935559432563525</v>
      </c>
      <c r="S43" s="59">
        <f t="shared" si="16"/>
        <v>1.3904012281848839</v>
      </c>
      <c r="T43" s="59">
        <f t="shared" si="16"/>
        <v>3.35688344321058E-3</v>
      </c>
      <c r="U43" s="59">
        <f t="shared" si="16"/>
        <v>0.84852953726176883</v>
      </c>
      <c r="V43" s="59">
        <f t="shared" si="16"/>
        <v>4.0193329159035E-2</v>
      </c>
    </row>
    <row r="44" spans="2:24">
      <c r="B44"/>
      <c r="C44" s="43"/>
      <c r="D44" s="39" t="str">
        <f t="shared" si="2"/>
        <v>CH3COO</v>
      </c>
      <c r="E44" s="59">
        <f t="shared" si="3"/>
        <v>2.9800272887859793</v>
      </c>
      <c r="F44" s="59">
        <f t="shared" ref="F44:V44" si="17">EXP(-F23/($B$6+273.15))</f>
        <v>2.9800272887859793</v>
      </c>
      <c r="G44" s="59">
        <f t="shared" si="17"/>
        <v>2.9800272887859793</v>
      </c>
      <c r="H44" s="59">
        <f t="shared" si="17"/>
        <v>0.67596877718068393</v>
      </c>
      <c r="I44" s="59">
        <f t="shared" si="17"/>
        <v>1.7858739387938913</v>
      </c>
      <c r="J44" s="59">
        <f t="shared" si="17"/>
        <v>1.7858739387938913</v>
      </c>
      <c r="K44" s="59">
        <f t="shared" si="17"/>
        <v>0.54006441474704125</v>
      </c>
      <c r="L44" s="59">
        <f t="shared" si="17"/>
        <v>1.6841060058791264</v>
      </c>
      <c r="M44" s="59">
        <f t="shared" si="17"/>
        <v>0.26810115486822422</v>
      </c>
      <c r="N44" s="59">
        <f t="shared" si="17"/>
        <v>3.1601057494948877</v>
      </c>
      <c r="O44" s="59">
        <f t="shared" si="17"/>
        <v>0.81814445974693395</v>
      </c>
      <c r="P44" s="59">
        <f t="shared" si="17"/>
        <v>2.4276827449007384E-2</v>
      </c>
      <c r="Q44" s="59">
        <f t="shared" si="17"/>
        <v>7.9570028016869975E-3</v>
      </c>
      <c r="R44" s="59">
        <f t="shared" si="17"/>
        <v>1</v>
      </c>
      <c r="S44" s="59">
        <f t="shared" si="17"/>
        <v>2.2345173256165598</v>
      </c>
      <c r="T44" s="59">
        <f t="shared" si="17"/>
        <v>0.68971129888531435</v>
      </c>
      <c r="U44" s="59">
        <f t="shared" si="17"/>
        <v>2.0448684239145778</v>
      </c>
      <c r="V44" s="59">
        <f t="shared" si="17"/>
        <v>1</v>
      </c>
    </row>
    <row r="45" spans="2:24">
      <c r="D45" s="39" t="str">
        <f t="shared" si="2"/>
        <v>CH2O</v>
      </c>
      <c r="E45" s="59">
        <f t="shared" si="3"/>
        <v>4.7054624924945561E-3</v>
      </c>
      <c r="F45" s="59">
        <f t="shared" ref="F45:V45" si="18">EXP(-F24/($B$6+273.15))</f>
        <v>4.7054624924945561E-3</v>
      </c>
      <c r="G45" s="59">
        <f t="shared" si="18"/>
        <v>4.7054624924945561E-3</v>
      </c>
      <c r="H45" s="59">
        <f t="shared" si="18"/>
        <v>0.83708718436358731</v>
      </c>
      <c r="I45" s="59">
        <f t="shared" si="18"/>
        <v>0.79924860707059553</v>
      </c>
      <c r="J45" s="59">
        <f t="shared" si="18"/>
        <v>0.79924860707059553</v>
      </c>
      <c r="K45" s="59">
        <f t="shared" si="18"/>
        <v>0.62645479454713371</v>
      </c>
      <c r="L45" s="59">
        <f t="shared" si="18"/>
        <v>2.1043102044804569</v>
      </c>
      <c r="M45" s="59">
        <f t="shared" si="18"/>
        <v>0.48388488662579066</v>
      </c>
      <c r="N45" s="59">
        <f t="shared" si="18"/>
        <v>1</v>
      </c>
      <c r="O45" s="59">
        <f t="shared" si="18"/>
        <v>0.83637361592641035</v>
      </c>
      <c r="P45" s="59">
        <f t="shared" si="18"/>
        <v>1</v>
      </c>
      <c r="Q45" s="59">
        <f t="shared" si="18"/>
        <v>8.3747459284547968E-3</v>
      </c>
      <c r="R45" s="59">
        <f t="shared" si="18"/>
        <v>0.20729816021395975</v>
      </c>
      <c r="S45" s="59">
        <f t="shared" si="18"/>
        <v>1</v>
      </c>
      <c r="T45" s="59">
        <f t="shared" si="18"/>
        <v>0.62496069523514897</v>
      </c>
      <c r="U45" s="59">
        <f t="shared" si="18"/>
        <v>1.692745381676114</v>
      </c>
      <c r="V45" s="59">
        <f t="shared" si="18"/>
        <v>1</v>
      </c>
    </row>
    <row r="46" spans="2:24">
      <c r="B46" s="38"/>
      <c r="D46" s="39" t="str">
        <f t="shared" si="2"/>
        <v>CHCL2</v>
      </c>
      <c r="E46" s="59">
        <f t="shared" si="3"/>
        <v>0.90921551784922305</v>
      </c>
      <c r="F46" s="59">
        <f t="shared" ref="F46:V46" si="19">EXP(-F25/($B$6+273.15))</f>
        <v>0.90921551784922305</v>
      </c>
      <c r="G46" s="59">
        <f t="shared" si="19"/>
        <v>0.90921551784922305</v>
      </c>
      <c r="H46" s="59">
        <f t="shared" si="19"/>
        <v>1</v>
      </c>
      <c r="I46" s="59">
        <f t="shared" si="19"/>
        <v>1</v>
      </c>
      <c r="J46" s="59">
        <f t="shared" si="19"/>
        <v>1</v>
      </c>
      <c r="K46" s="59">
        <f t="shared" si="19"/>
        <v>0.10199919270853869</v>
      </c>
      <c r="L46" s="59">
        <f t="shared" si="19"/>
        <v>3.9351426234145048</v>
      </c>
      <c r="M46" s="59">
        <f t="shared" si="19"/>
        <v>8.000473548491234E-2</v>
      </c>
      <c r="N46" s="59">
        <f t="shared" si="19"/>
        <v>1</v>
      </c>
      <c r="O46" s="59">
        <f t="shared" si="19"/>
        <v>0.15286205866102154</v>
      </c>
      <c r="P46" s="59">
        <f t="shared" si="19"/>
        <v>1</v>
      </c>
      <c r="Q46" s="59">
        <f t="shared" si="19"/>
        <v>0.22467681804546677</v>
      </c>
      <c r="R46" s="59">
        <f t="shared" si="19"/>
        <v>1.5735772434372819</v>
      </c>
      <c r="S46" s="59">
        <f t="shared" si="19"/>
        <v>1.9628524991761478</v>
      </c>
      <c r="T46" s="59">
        <f t="shared" si="19"/>
        <v>1</v>
      </c>
      <c r="U46" s="59">
        <f t="shared" si="19"/>
        <v>1</v>
      </c>
      <c r="V46" s="59">
        <f t="shared" si="19"/>
        <v>1</v>
      </c>
      <c r="W46" s="38"/>
    </row>
    <row r="47" spans="2:24" s="42" customFormat="1">
      <c r="B47" s="39"/>
      <c r="C47" s="39"/>
      <c r="D47" s="39" t="str">
        <f t="shared" si="2"/>
        <v>CCL3</v>
      </c>
      <c r="E47" s="59">
        <f t="shared" ref="E47:T47" si="20">EXP(-E26/($B$6+273.15))</f>
        <v>0.93013991058184586</v>
      </c>
      <c r="F47" s="59">
        <f t="shared" si="20"/>
        <v>0.93013991058184586</v>
      </c>
      <c r="G47" s="59">
        <f t="shared" si="20"/>
        <v>0.93013991058184586</v>
      </c>
      <c r="H47" s="59">
        <f t="shared" si="20"/>
        <v>0.37376134007261957</v>
      </c>
      <c r="I47" s="59">
        <f t="shared" si="20"/>
        <v>0.89167710445654447</v>
      </c>
      <c r="J47" s="59">
        <f t="shared" si="20"/>
        <v>0.89167710445654447</v>
      </c>
      <c r="K47" s="59">
        <f t="shared" si="20"/>
        <v>0.23996656660463803</v>
      </c>
      <c r="L47" s="59">
        <f t="shared" si="20"/>
        <v>4.8969203887254436</v>
      </c>
      <c r="M47" s="59">
        <f t="shared" si="20"/>
        <v>6.6818050167281567E-2</v>
      </c>
      <c r="N47" s="59">
        <f t="shared" si="20"/>
        <v>1</v>
      </c>
      <c r="O47" s="59">
        <f t="shared" si="20"/>
        <v>16.720688212869995</v>
      </c>
      <c r="P47" s="59">
        <f t="shared" si="20"/>
        <v>1</v>
      </c>
      <c r="Q47" s="59">
        <f t="shared" si="20"/>
        <v>0.28265817577706481</v>
      </c>
      <c r="R47" s="59">
        <f t="shared" si="20"/>
        <v>21.419496359320899</v>
      </c>
      <c r="S47" s="59">
        <f t="shared" si="20"/>
        <v>1.0740074103038657</v>
      </c>
      <c r="T47" s="59">
        <f t="shared" si="20"/>
        <v>1</v>
      </c>
      <c r="U47" s="59">
        <f>EXP(-U26/($B$6+273.15))</f>
        <v>1</v>
      </c>
      <c r="V47" s="59">
        <f>EXP(-V26/($B$6+273.15))</f>
        <v>1.2937530437917661</v>
      </c>
      <c r="W47" s="39"/>
      <c r="X47" s="41"/>
    </row>
    <row r="48" spans="2:24">
      <c r="C48" s="43"/>
      <c r="D48" s="39" t="str">
        <f t="shared" si="2"/>
        <v>ACNH2</v>
      </c>
      <c r="E48" s="59">
        <f t="shared" ref="E48:V48" si="21">EXP(-E27/($B$6+273.15))</f>
        <v>0.5489801526558743</v>
      </c>
      <c r="F48" s="59">
        <f t="shared" si="21"/>
        <v>0.5489801526558743</v>
      </c>
      <c r="G48" s="59">
        <f t="shared" si="21"/>
        <v>0.5489801526558743</v>
      </c>
      <c r="H48" s="59">
        <f t="shared" si="21"/>
        <v>2.1100606643178348</v>
      </c>
      <c r="I48" s="59">
        <f t="shared" si="21"/>
        <v>1.0539731182105692</v>
      </c>
      <c r="J48" s="59">
        <f t="shared" si="21"/>
        <v>1.0539731182105692</v>
      </c>
      <c r="K48" s="59">
        <f t="shared" si="21"/>
        <v>0.16455063797880559</v>
      </c>
      <c r="L48" s="59">
        <f t="shared" si="21"/>
        <v>1</v>
      </c>
      <c r="M48" s="59">
        <f t="shared" si="21"/>
        <v>2.2659888840052664</v>
      </c>
      <c r="N48" s="59">
        <f t="shared" si="21"/>
        <v>18.815388664926378</v>
      </c>
      <c r="O48" s="59">
        <f t="shared" si="21"/>
        <v>5.3621460883860279E-2</v>
      </c>
      <c r="P48" s="59">
        <f t="shared" si="21"/>
        <v>1</v>
      </c>
      <c r="Q48" s="59">
        <f t="shared" si="21"/>
        <v>9.7841417475698134E-2</v>
      </c>
      <c r="R48" s="59">
        <f t="shared" si="21"/>
        <v>1</v>
      </c>
      <c r="S48" s="59">
        <f t="shared" si="21"/>
        <v>1</v>
      </c>
      <c r="T48" s="59">
        <f t="shared" si="21"/>
        <v>1</v>
      </c>
      <c r="U48" s="59">
        <f t="shared" si="21"/>
        <v>2.0914289036676519</v>
      </c>
      <c r="V48" s="59">
        <f t="shared" si="21"/>
        <v>1</v>
      </c>
    </row>
    <row r="49" spans="2:23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2:23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2:23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2:23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2:23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2:23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2:23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2:23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2:23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2:23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2:23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2:23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2" spans="2:23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C3"/>
  <sheetViews>
    <sheetView workbookViewId="0">
      <selection activeCell="C3" sqref="C3"/>
    </sheetView>
  </sheetViews>
  <sheetFormatPr baseColWidth="10" defaultColWidth="8.83203125" defaultRowHeight="13"/>
  <cols>
    <col min="1" max="1" width="8.83203125" style="5"/>
    <col min="2" max="2" width="8.83203125" style="281"/>
    <col min="3" max="16384" width="8.83203125" style="5"/>
  </cols>
  <sheetData>
    <row r="3" spans="2:3">
      <c r="B3" s="281">
        <v>40889</v>
      </c>
      <c r="C3" s="5" t="s">
        <v>342</v>
      </c>
    </row>
  </sheetData>
  <sheetProtection sheet="1" objects="1" scenarios="1"/>
  <phoneticPr fontId="0" type="noConversion"/>
  <pageMargins left="0.75" right="0.75" top="1" bottom="1" header="0.5" footer="0.5"/>
  <pageSetup orientation="portrait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J26"/>
  <sheetViews>
    <sheetView workbookViewId="0">
      <selection activeCell="A9" sqref="A9"/>
    </sheetView>
  </sheetViews>
  <sheetFormatPr baseColWidth="10" defaultColWidth="8.83203125" defaultRowHeight="13"/>
  <cols>
    <col min="1" max="1" width="5.83203125" customWidth="1"/>
    <col min="2" max="2" width="8.6640625" customWidth="1"/>
    <col min="3" max="3" width="6.83203125" customWidth="1"/>
    <col min="4" max="4" width="6.6640625" customWidth="1"/>
    <col min="5" max="5" width="10.6640625" customWidth="1"/>
    <col min="6" max="6" width="11.1640625" customWidth="1"/>
  </cols>
  <sheetData>
    <row r="1" spans="1:10">
      <c r="A1" s="5" t="s">
        <v>184</v>
      </c>
      <c r="B1" s="5"/>
      <c r="C1" s="5"/>
      <c r="D1" s="5"/>
      <c r="E1" s="5"/>
      <c r="F1" s="5"/>
      <c r="G1" s="5"/>
      <c r="H1" s="5"/>
      <c r="I1" s="5"/>
    </row>
    <row r="2" spans="1:10">
      <c r="A2" s="5" t="s">
        <v>185</v>
      </c>
      <c r="B2" s="5"/>
      <c r="C2" s="5"/>
      <c r="D2" s="5"/>
      <c r="E2" s="5"/>
      <c r="F2" s="5"/>
      <c r="G2" s="5"/>
      <c r="H2" s="5"/>
      <c r="I2" s="5"/>
    </row>
    <row r="3" spans="1:10" s="44" customFormat="1" ht="15">
      <c r="A3" s="4" t="s">
        <v>28</v>
      </c>
      <c r="B3" s="45" t="s">
        <v>186</v>
      </c>
      <c r="C3" s="45" t="s">
        <v>187</v>
      </c>
      <c r="D3" s="45" t="s">
        <v>188</v>
      </c>
      <c r="E3" s="45" t="s">
        <v>189</v>
      </c>
      <c r="F3" s="45" t="s">
        <v>190</v>
      </c>
      <c r="G3" s="4"/>
      <c r="H3" s="5" t="s">
        <v>191</v>
      </c>
      <c r="I3" s="5"/>
      <c r="J3"/>
    </row>
    <row r="4" spans="1:10">
      <c r="A4" s="140">
        <v>0</v>
      </c>
      <c r="B4" s="5">
        <v>0</v>
      </c>
      <c r="C4" s="5">
        <v>23.549996117011087</v>
      </c>
      <c r="D4" s="5">
        <v>1</v>
      </c>
      <c r="E4" s="5">
        <f t="shared" ref="E4:E24" si="0">A4*C4</f>
        <v>0</v>
      </c>
      <c r="F4" s="5">
        <f t="shared" ref="F4:F24" si="1">(1-A4)*D4</f>
        <v>1</v>
      </c>
      <c r="G4" s="5"/>
      <c r="H4" s="5" t="s">
        <v>222</v>
      </c>
      <c r="I4" s="5"/>
    </row>
    <row r="5" spans="1:10">
      <c r="A5" s="140">
        <v>0.05</v>
      </c>
      <c r="B5" s="5">
        <f>A5*LN(A5*C5)+(1-A5)*LN((1-A5)*D5)</f>
        <v>-5.8526263184391143E-2</v>
      </c>
      <c r="C5" s="5">
        <v>12.205286565738749</v>
      </c>
      <c r="D5" s="5">
        <v>1.0158030640836784</v>
      </c>
      <c r="E5" s="5">
        <f t="shared" si="0"/>
        <v>0.61026432828693755</v>
      </c>
      <c r="F5" s="5">
        <f t="shared" si="1"/>
        <v>0.96501291087949437</v>
      </c>
      <c r="G5" s="5"/>
      <c r="H5" s="4"/>
      <c r="I5" s="4"/>
    </row>
    <row r="6" spans="1:10">
      <c r="A6" s="140">
        <v>0.1</v>
      </c>
      <c r="B6" s="5">
        <f t="shared" ref="B6:B21" si="2">A6*LN(A6*C6)+(1-A6)*LN((1-A6)*D6)</f>
        <v>-7.3170809828983552E-2</v>
      </c>
      <c r="C6" s="5">
        <v>7.8862555732243367</v>
      </c>
      <c r="D6" s="5">
        <v>1.0517384542819028</v>
      </c>
      <c r="E6" s="5">
        <f t="shared" si="0"/>
        <v>0.78862555732243367</v>
      </c>
      <c r="F6" s="5">
        <f t="shared" si="1"/>
        <v>0.94656460885371252</v>
      </c>
      <c r="G6" s="5"/>
      <c r="H6" s="5"/>
      <c r="I6" s="5"/>
    </row>
    <row r="7" spans="1:10">
      <c r="A7" s="140">
        <v>0.15</v>
      </c>
      <c r="B7" s="5">
        <f t="shared" si="2"/>
        <v>-7.9417118711015908E-2</v>
      </c>
      <c r="C7" s="5">
        <v>5.7531015573587903</v>
      </c>
      <c r="D7" s="5">
        <v>1.099763783752048</v>
      </c>
      <c r="E7" s="5">
        <f t="shared" si="0"/>
        <v>0.86296523360381849</v>
      </c>
      <c r="F7" s="5">
        <f t="shared" si="1"/>
        <v>0.93479921618924078</v>
      </c>
      <c r="G7" s="5"/>
      <c r="H7" s="5"/>
      <c r="I7" s="5"/>
    </row>
    <row r="8" spans="1:10">
      <c r="A8" s="140">
        <v>0.2</v>
      </c>
      <c r="B8" s="5">
        <f t="shared" si="2"/>
        <v>-8.1901861537314949E-2</v>
      </c>
      <c r="C8" s="5">
        <v>4.5204513534279052</v>
      </c>
      <c r="D8" s="5">
        <v>1.1571646445255261</v>
      </c>
      <c r="E8" s="5">
        <f t="shared" si="0"/>
        <v>0.90409027068558112</v>
      </c>
      <c r="F8" s="5">
        <f t="shared" si="1"/>
        <v>0.925731715620421</v>
      </c>
      <c r="G8" s="5"/>
      <c r="H8" s="4"/>
      <c r="I8" s="4"/>
    </row>
    <row r="9" spans="1:10">
      <c r="A9" s="140">
        <v>0.25</v>
      </c>
      <c r="B9" s="5">
        <f t="shared" si="2"/>
        <v>-8.2054004240710993E-2</v>
      </c>
      <c r="C9" s="5">
        <v>3.7288844688632325</v>
      </c>
      <c r="D9" s="5">
        <v>1.2234464244730918</v>
      </c>
      <c r="E9" s="5">
        <f t="shared" si="0"/>
        <v>0.93222111721580814</v>
      </c>
      <c r="F9" s="5">
        <f t="shared" si="1"/>
        <v>0.91758481835481887</v>
      </c>
      <c r="G9" s="5"/>
      <c r="H9" s="5"/>
      <c r="I9" s="5"/>
    </row>
    <row r="10" spans="1:10">
      <c r="A10" s="140">
        <v>0.3</v>
      </c>
      <c r="B10" s="5">
        <f t="shared" si="2"/>
        <v>-8.044320908797177E-2</v>
      </c>
      <c r="C10" s="5">
        <v>3.180118126890346</v>
      </c>
      <c r="D10" s="5">
        <v>1.2994255361803948</v>
      </c>
      <c r="E10" s="5">
        <f t="shared" si="0"/>
        <v>0.95403543806710378</v>
      </c>
      <c r="F10" s="5">
        <f t="shared" si="1"/>
        <v>0.90959787532627634</v>
      </c>
      <c r="G10" s="5"/>
      <c r="H10" s="5"/>
      <c r="I10" s="5"/>
    </row>
    <row r="11" spans="1:10">
      <c r="A11" s="140">
        <v>0.35</v>
      </c>
      <c r="B11" s="5">
        <f t="shared" si="2"/>
        <v>-7.7358534263080925E-2</v>
      </c>
      <c r="C11" s="5">
        <v>2.77663742590076</v>
      </c>
      <c r="D11" s="5">
        <v>1.3870231313131083</v>
      </c>
      <c r="E11" s="5">
        <f t="shared" si="0"/>
        <v>0.97182309906526598</v>
      </c>
      <c r="F11" s="5">
        <f t="shared" si="1"/>
        <v>0.90156503535352039</v>
      </c>
      <c r="G11" s="5"/>
      <c r="H11" s="141"/>
      <c r="I11" s="141"/>
    </row>
    <row r="12" spans="1:10">
      <c r="A12" s="140">
        <v>0.4</v>
      </c>
      <c r="B12" s="5">
        <f t="shared" si="2"/>
        <v>-7.3001069019793405E-2</v>
      </c>
      <c r="C12" s="5">
        <v>2.4656832482308411</v>
      </c>
      <c r="D12" s="5">
        <v>1.4893975322002375</v>
      </c>
      <c r="E12" s="5">
        <f t="shared" si="0"/>
        <v>0.98627329929233643</v>
      </c>
      <c r="F12" s="5">
        <f t="shared" si="1"/>
        <v>0.89363851932014249</v>
      </c>
      <c r="G12" s="5"/>
      <c r="H12" s="5"/>
      <c r="I12" s="5"/>
    </row>
    <row r="13" spans="1:10">
      <c r="A13" s="140">
        <v>0.45</v>
      </c>
      <c r="B13" s="5">
        <f t="shared" si="2"/>
        <v>-6.7561760684280298E-2</v>
      </c>
      <c r="C13" s="5">
        <v>2.2165813769560589</v>
      </c>
      <c r="D13" s="5">
        <v>1.6113574057428666</v>
      </c>
      <c r="E13" s="5">
        <f t="shared" si="0"/>
        <v>0.9974616196302265</v>
      </c>
      <c r="F13" s="5">
        <f t="shared" si="1"/>
        <v>0.88624657315857669</v>
      </c>
      <c r="G13" s="5"/>
      <c r="H13" s="5"/>
      <c r="I13" s="5"/>
    </row>
    <row r="14" spans="1:10">
      <c r="A14" s="140">
        <v>0.5</v>
      </c>
      <c r="B14" s="5">
        <f t="shared" si="2"/>
        <v>-6.1259330978385027E-2</v>
      </c>
      <c r="C14" s="5">
        <v>2.0104943308265222</v>
      </c>
      <c r="D14" s="5">
        <v>1.7601430278900387</v>
      </c>
      <c r="E14" s="5">
        <f t="shared" si="0"/>
        <v>1.0052471654132611</v>
      </c>
      <c r="F14" s="5">
        <f t="shared" si="1"/>
        <v>0.88007151394501937</v>
      </c>
      <c r="G14" s="5"/>
      <c r="H14" s="5"/>
      <c r="I14" s="5"/>
    </row>
    <row r="15" spans="1:10">
      <c r="A15" s="140">
        <v>0.55000000000000004</v>
      </c>
      <c r="B15" s="5">
        <f t="shared" si="2"/>
        <v>-5.4363498549103328E-2</v>
      </c>
      <c r="C15" s="5">
        <v>1.8353757054611357</v>
      </c>
      <c r="D15" s="5">
        <v>1.9468177508145179</v>
      </c>
      <c r="E15" s="5">
        <f t="shared" si="0"/>
        <v>1.0094566380036247</v>
      </c>
      <c r="F15" s="5">
        <f t="shared" si="1"/>
        <v>0.87606798786653295</v>
      </c>
      <c r="G15" s="5"/>
      <c r="H15" s="5"/>
      <c r="I15" s="5"/>
    </row>
    <row r="16" spans="1:10">
      <c r="A16" s="140">
        <v>0.6</v>
      </c>
      <c r="B16" s="5">
        <f t="shared" si="2"/>
        <v>-4.7213104265483051E-2</v>
      </c>
      <c r="C16" s="5">
        <v>1.6833155282745356</v>
      </c>
      <c r="D16" s="5">
        <v>2.1887888206504447</v>
      </c>
      <c r="E16" s="5">
        <f t="shared" si="0"/>
        <v>1.0099893169647214</v>
      </c>
      <c r="F16" s="5">
        <f t="shared" si="1"/>
        <v>0.87551552826017787</v>
      </c>
      <c r="G16" s="5"/>
      <c r="H16" s="5"/>
      <c r="I16" s="5"/>
    </row>
    <row r="17" spans="1:9">
      <c r="A17" s="140">
        <v>0.65</v>
      </c>
      <c r="B17" s="5">
        <f t="shared" si="2"/>
        <v>-4.0232618283381948E-2</v>
      </c>
      <c r="C17" s="5">
        <v>1.5490740887164449</v>
      </c>
      <c r="D17" s="5">
        <v>2.5145777726919896</v>
      </c>
      <c r="E17" s="5">
        <f t="shared" si="0"/>
        <v>1.0068981576656892</v>
      </c>
      <c r="F17" s="5">
        <f t="shared" si="1"/>
        <v>0.88010222044219633</v>
      </c>
      <c r="G17" s="5"/>
      <c r="H17" s="5"/>
      <c r="I17" s="5"/>
    </row>
    <row r="18" spans="1:9">
      <c r="A18" s="140">
        <v>0.7</v>
      </c>
      <c r="B18" s="5">
        <f t="shared" si="2"/>
        <v>-3.3946561598639298E-2</v>
      </c>
      <c r="C18" s="5">
        <v>1.4292523302892868</v>
      </c>
      <c r="D18" s="5">
        <v>2.9733989452862142</v>
      </c>
      <c r="E18" s="5">
        <f t="shared" si="0"/>
        <v>1.0004766312025006</v>
      </c>
      <c r="F18" s="5">
        <f t="shared" si="1"/>
        <v>0.89201968358586436</v>
      </c>
      <c r="G18" s="5"/>
      <c r="H18" s="5"/>
      <c r="I18" s="5"/>
    </row>
    <row r="19" spans="1:9">
      <c r="A19" s="140">
        <v>0.75</v>
      </c>
      <c r="B19" s="5">
        <f t="shared" si="2"/>
        <v>-2.8985335936918568E-2</v>
      </c>
      <c r="C19" s="5">
        <v>1.3218364112832903</v>
      </c>
      <c r="D19" s="5">
        <v>3.6558669601634244</v>
      </c>
      <c r="E19" s="5">
        <f t="shared" si="0"/>
        <v>0.99137730846246774</v>
      </c>
      <c r="F19" s="5">
        <f t="shared" si="1"/>
        <v>0.9139667400408561</v>
      </c>
      <c r="G19" s="5"/>
      <c r="H19" s="5"/>
      <c r="I19" s="5"/>
    </row>
    <row r="20" spans="1:9">
      <c r="A20" s="140">
        <v>0.8</v>
      </c>
      <c r="B20" s="5">
        <f t="shared" si="2"/>
        <v>-2.6060103502693714E-2</v>
      </c>
      <c r="C20" s="5">
        <v>1.2260009439027042</v>
      </c>
      <c r="D20" s="5">
        <v>4.7430537081854967</v>
      </c>
      <c r="E20" s="5">
        <f t="shared" si="0"/>
        <v>0.98080075512216336</v>
      </c>
      <c r="F20" s="5">
        <f t="shared" si="1"/>
        <v>0.94861074163709913</v>
      </c>
      <c r="G20" s="5"/>
      <c r="H20" s="5"/>
      <c r="I20" s="5"/>
    </row>
    <row r="21" spans="1:9">
      <c r="A21" s="140">
        <v>0.85</v>
      </c>
      <c r="B21" s="5">
        <f t="shared" si="2"/>
        <v>-2.5832673179705622E-2</v>
      </c>
      <c r="C21" s="5">
        <v>1.1421555012671296</v>
      </c>
      <c r="D21" s="5">
        <v>6.6368995147729484</v>
      </c>
      <c r="E21" s="5">
        <f t="shared" si="0"/>
        <v>0.97083217607706018</v>
      </c>
      <c r="F21" s="5">
        <f t="shared" si="1"/>
        <v>0.99553492721594239</v>
      </c>
      <c r="G21" s="5"/>
      <c r="H21" s="5"/>
      <c r="I21" s="5"/>
    </row>
    <row r="22" spans="1:9">
      <c r="A22" s="140">
        <v>0.9</v>
      </c>
      <c r="B22" s="5">
        <f>A22*LN(A22*C22)+(1-A22)*LN((1-A22)*D22)</f>
        <v>-2.8400945527763444E-2</v>
      </c>
      <c r="C22" s="5">
        <v>1.0723425298210261</v>
      </c>
      <c r="D22" s="5">
        <v>10.362675510003593</v>
      </c>
      <c r="E22" s="5">
        <f t="shared" si="0"/>
        <v>0.96510827683892353</v>
      </c>
      <c r="F22" s="5">
        <f t="shared" si="1"/>
        <v>1.0362675510003589</v>
      </c>
      <c r="G22" s="5"/>
      <c r="H22" s="5"/>
      <c r="I22" s="5"/>
    </row>
    <row r="23" spans="1:9">
      <c r="A23" s="140">
        <v>0.95</v>
      </c>
      <c r="B23" s="5">
        <f>A23*LN(A23*C23)+(1-A23)*LN((1-A23)*D23)</f>
        <v>-3.0971603907365523E-2</v>
      </c>
      <c r="C23" s="5">
        <v>1.0213742013230283</v>
      </c>
      <c r="D23" s="5">
        <v>19.087663385637018</v>
      </c>
      <c r="E23" s="5">
        <f t="shared" si="0"/>
        <v>0.97030549125687682</v>
      </c>
      <c r="F23" s="5">
        <f t="shared" si="1"/>
        <v>0.95438316928185174</v>
      </c>
      <c r="G23" s="5"/>
      <c r="H23" s="5"/>
      <c r="I23" s="5"/>
    </row>
    <row r="24" spans="1:9">
      <c r="A24" s="140">
        <v>1</v>
      </c>
      <c r="B24" s="5">
        <v>0</v>
      </c>
      <c r="C24" s="5">
        <v>1.0000000000105798</v>
      </c>
      <c r="D24" s="5">
        <v>45.758179297949532</v>
      </c>
      <c r="E24" s="5">
        <f t="shared" si="0"/>
        <v>1.0000000000105798</v>
      </c>
      <c r="F24" s="5">
        <f t="shared" si="1"/>
        <v>0</v>
      </c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</sheetData>
  <sheetProtection sheet="1" objects="1" scenarios="1"/>
  <phoneticPr fontId="36" type="noConversion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101</vt:i4>
      </vt:variant>
    </vt:vector>
  </HeadingPairs>
  <TitlesOfParts>
    <vt:vector size="115" baseType="lpstr">
      <vt:lpstr>Instructions</vt:lpstr>
      <vt:lpstr>Margules</vt:lpstr>
      <vt:lpstr>Regular</vt:lpstr>
      <vt:lpstr>NRTL</vt:lpstr>
      <vt:lpstr>NRTL5</vt:lpstr>
      <vt:lpstr>UNIQUAC</vt:lpstr>
      <vt:lpstr>UNIQUAC5</vt:lpstr>
      <vt:lpstr>UNIFAC (VLE)</vt:lpstr>
      <vt:lpstr>aij-UNIFAC (VLE)</vt:lpstr>
      <vt:lpstr>UNIFAC (LLEa)</vt:lpstr>
      <vt:lpstr>UNIFAC (LLEb)</vt:lpstr>
      <vt:lpstr>aij-UNIFAC (LLE)</vt:lpstr>
      <vt:lpstr>revisions</vt:lpstr>
      <vt:lpstr>LLE</vt:lpstr>
      <vt:lpstr>_del1</vt:lpstr>
      <vt:lpstr>_del2</vt:lpstr>
      <vt:lpstr>UNIQUAC!_l1</vt:lpstr>
      <vt:lpstr>UNIQUAC!_l2</vt:lpstr>
      <vt:lpstr>UNIQUAC!_lf1</vt:lpstr>
      <vt:lpstr>UNIQUAC!_lf2</vt:lpstr>
      <vt:lpstr>UNIQUAC!_phi1</vt:lpstr>
      <vt:lpstr>UNIQUAC!_phi2</vt:lpstr>
      <vt:lpstr>_Q</vt:lpstr>
      <vt:lpstr>UNIQUAC!_q1</vt:lpstr>
      <vt:lpstr>UNIQUAC!_q2</vt:lpstr>
      <vt:lpstr>_QL</vt:lpstr>
      <vt:lpstr>UNIQUAC!_qp1</vt:lpstr>
      <vt:lpstr>UNIQUAC!_qp2</vt:lpstr>
      <vt:lpstr>_R</vt:lpstr>
      <vt:lpstr>UNIQUAC!_r1</vt:lpstr>
      <vt:lpstr>UNIQUAC!_r2</vt:lpstr>
      <vt:lpstr>_RL</vt:lpstr>
      <vt:lpstr>_T</vt:lpstr>
      <vt:lpstr>_T.</vt:lpstr>
      <vt:lpstr>UNIQUAC!_tau12</vt:lpstr>
      <vt:lpstr>UNIQUAC!_tau21</vt:lpstr>
      <vt:lpstr>UNIQUAC!_x1</vt:lpstr>
      <vt:lpstr>UNIQUAC!_x2</vt:lpstr>
      <vt:lpstr>A.</vt:lpstr>
      <vt:lpstr>A12_</vt:lpstr>
      <vt:lpstr>A12.</vt:lpstr>
      <vt:lpstr>A12..</vt:lpstr>
      <vt:lpstr>A21_</vt:lpstr>
      <vt:lpstr>A21.</vt:lpstr>
      <vt:lpstr>A21..</vt:lpstr>
      <vt:lpstr>act</vt:lpstr>
      <vt:lpstr>Margules!activity1</vt:lpstr>
      <vt:lpstr>Margules!activity2</vt:lpstr>
      <vt:lpstr>B.</vt:lpstr>
      <vt:lpstr>C.</vt:lpstr>
      <vt:lpstr>column</vt:lpstr>
      <vt:lpstr>g.</vt:lpstr>
      <vt:lpstr>g12.</vt:lpstr>
      <vt:lpstr>g21.</vt:lpstr>
      <vt:lpstr>galpha</vt:lpstr>
      <vt:lpstr>gam1.</vt:lpstr>
      <vt:lpstr>gam1..</vt:lpstr>
      <vt:lpstr>gam1...</vt:lpstr>
      <vt:lpstr>gam2.</vt:lpstr>
      <vt:lpstr>gam2..</vt:lpstr>
      <vt:lpstr>gam2...</vt:lpstr>
      <vt:lpstr>gamma1_</vt:lpstr>
      <vt:lpstr>Margules!gamma2_</vt:lpstr>
      <vt:lpstr>UNIQUAC5!gbeta</vt:lpstr>
      <vt:lpstr>MGaij</vt:lpstr>
      <vt:lpstr>P1sat.</vt:lpstr>
      <vt:lpstr>P1sat..</vt:lpstr>
      <vt:lpstr>P1sat...</vt:lpstr>
      <vt:lpstr>P2sat.</vt:lpstr>
      <vt:lpstr>P2sat..</vt:lpstr>
      <vt:lpstr>P2sat...</vt:lpstr>
      <vt:lpstr>Pexpt</vt:lpstr>
      <vt:lpstr>phir1</vt:lpstr>
      <vt:lpstr>Psat</vt:lpstr>
      <vt:lpstr>q</vt:lpstr>
      <vt:lpstr>'UNIFAC (LLEb)'!qL</vt:lpstr>
      <vt:lpstr>qL</vt:lpstr>
      <vt:lpstr>row</vt:lpstr>
      <vt:lpstr>T</vt:lpstr>
      <vt:lpstr>'UNIFAC (VLE)'!T_</vt:lpstr>
      <vt:lpstr>T.</vt:lpstr>
      <vt:lpstr>T..</vt:lpstr>
      <vt:lpstr>T...</vt:lpstr>
      <vt:lpstr>t12.</vt:lpstr>
      <vt:lpstr>t21.</vt:lpstr>
      <vt:lpstr>tau</vt:lpstr>
      <vt:lpstr>tauL</vt:lpstr>
      <vt:lpstr>'UNIFAC (LLEa)'!TC.</vt:lpstr>
      <vt:lpstr>'UNIFAC (LLEb)'!TC..</vt:lpstr>
      <vt:lpstr>UNIQUAC!theta1</vt:lpstr>
      <vt:lpstr>UNIQUAC!theta2</vt:lpstr>
      <vt:lpstr>UNIQUAC!thetap1</vt:lpstr>
      <vt:lpstr>UNIQUAC!thetap2</vt:lpstr>
      <vt:lpstr>UNIQUAC!TK</vt:lpstr>
      <vt:lpstr>TK</vt:lpstr>
      <vt:lpstr>V1_</vt:lpstr>
      <vt:lpstr>V2_</vt:lpstr>
      <vt:lpstr>x.</vt:lpstr>
      <vt:lpstr>x1_</vt:lpstr>
      <vt:lpstr>x1__</vt:lpstr>
      <vt:lpstr>NRTL!x1.</vt:lpstr>
      <vt:lpstr>x1.</vt:lpstr>
      <vt:lpstr>x1..</vt:lpstr>
      <vt:lpstr>x1...</vt:lpstr>
      <vt:lpstr>x2_</vt:lpstr>
      <vt:lpstr>x2.</vt:lpstr>
      <vt:lpstr>UNIQUAC5!xalpha</vt:lpstr>
      <vt:lpstr>UNIQUAC5!xbeta</vt:lpstr>
      <vt:lpstr>'UNIFAC (LLEb)'!XL</vt:lpstr>
      <vt:lpstr>y1.</vt:lpstr>
      <vt:lpstr>y1..</vt:lpstr>
      <vt:lpstr>y1...</vt:lpstr>
      <vt:lpstr>y2.</vt:lpstr>
      <vt:lpstr>y2..</vt:lpstr>
      <vt:lpstr>y2...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cp:lastPrinted>1999-12-22T07:05:21Z</cp:lastPrinted>
  <dcterms:created xsi:type="dcterms:W3CDTF">1997-12-10T20:16:28Z</dcterms:created>
  <dcterms:modified xsi:type="dcterms:W3CDTF">2019-04-20T11:51:21Z</dcterms:modified>
</cp:coreProperties>
</file>